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5315" windowHeight="7680" activeTab="2"/>
  </bookViews>
  <sheets>
    <sheet name="Sähkö" sheetId="1" r:id="rId1"/>
    <sheet name="Lämpö" sheetId="4" r:id="rId2"/>
    <sheet name="CHP" sheetId="2" r:id="rId3"/>
    <sheet name="Ydinlämmitys" sheetId="3" r:id="rId4"/>
    <sheet name="Ydinlämmitys 2" sheetId="6" r:id="rId5"/>
    <sheet name="20 MW 35 MW" sheetId="7" r:id="rId6"/>
    <sheet name="Hybridilämmitys" sheetId="5" r:id="rId7"/>
  </sheets>
  <calcPr calcId="145621"/>
</workbook>
</file>

<file path=xl/calcChain.xml><?xml version="1.0" encoding="utf-8"?>
<calcChain xmlns="http://schemas.openxmlformats.org/spreadsheetml/2006/main">
  <c r="P37" i="2" l="1"/>
  <c r="E180" i="1" l="1"/>
  <c r="E179" i="1"/>
  <c r="E160" i="1"/>
  <c r="E174" i="1" s="1"/>
  <c r="E159" i="1"/>
  <c r="E175" i="1" s="1"/>
  <c r="E156" i="1"/>
  <c r="E155" i="1"/>
  <c r="J179" i="1"/>
  <c r="J180" i="1" s="1"/>
  <c r="I179" i="1"/>
  <c r="I180" i="1" s="1"/>
  <c r="H179" i="1"/>
  <c r="H180" i="1" s="1"/>
  <c r="G179" i="1"/>
  <c r="G180" i="1" s="1"/>
  <c r="F179" i="1"/>
  <c r="F180" i="1" s="1"/>
  <c r="G165" i="1"/>
  <c r="H165" i="1" s="1"/>
  <c r="I165" i="1" s="1"/>
  <c r="J165" i="1" s="1"/>
  <c r="G163" i="1"/>
  <c r="H163" i="1" s="1"/>
  <c r="I163" i="1" s="1"/>
  <c r="J163" i="1" s="1"/>
  <c r="F159" i="1"/>
  <c r="F170" i="1" s="1"/>
  <c r="G158" i="1"/>
  <c r="H156" i="1"/>
  <c r="G156" i="1"/>
  <c r="F156" i="1"/>
  <c r="J155" i="1"/>
  <c r="I155" i="1"/>
  <c r="H155" i="1"/>
  <c r="G155" i="1"/>
  <c r="F155" i="1"/>
  <c r="F160" i="1" s="1"/>
  <c r="F174" i="1" s="1"/>
  <c r="E181" i="1" l="1"/>
  <c r="E161" i="1"/>
  <c r="E173" i="1" s="1"/>
  <c r="E170" i="1"/>
  <c r="E172" i="1"/>
  <c r="G160" i="1"/>
  <c r="G161" i="1" s="1"/>
  <c r="G173" i="1" s="1"/>
  <c r="F175" i="1"/>
  <c r="H158" i="1"/>
  <c r="H159" i="1" s="1"/>
  <c r="H170" i="1" s="1"/>
  <c r="G159" i="1"/>
  <c r="G175" i="1" s="1"/>
  <c r="G172" i="1"/>
  <c r="G174" i="1"/>
  <c r="H175" i="1"/>
  <c r="H160" i="1"/>
  <c r="I158" i="1"/>
  <c r="F161" i="1"/>
  <c r="F173" i="1" s="1"/>
  <c r="F172" i="1"/>
  <c r="F181" i="1"/>
  <c r="O37" i="2"/>
  <c r="N37" i="2"/>
  <c r="H181" i="1" l="1"/>
  <c r="E176" i="1"/>
  <c r="F176" i="1"/>
  <c r="F178" i="1" s="1"/>
  <c r="F184" i="1" s="1"/>
  <c r="G170" i="1"/>
  <c r="G181" i="1"/>
  <c r="I160" i="1"/>
  <c r="I159" i="1"/>
  <c r="J158" i="1"/>
  <c r="F182" i="1"/>
  <c r="F183" i="1" s="1"/>
  <c r="F177" i="1"/>
  <c r="H174" i="1"/>
  <c r="H172" i="1"/>
  <c r="H161" i="1"/>
  <c r="H173" i="1" s="1"/>
  <c r="G176" i="1"/>
  <c r="F6" i="3"/>
  <c r="F29" i="6"/>
  <c r="E29" i="6"/>
  <c r="E30" i="6"/>
  <c r="E31" i="6" s="1"/>
  <c r="F30" i="6"/>
  <c r="G7" i="6"/>
  <c r="G31" i="6"/>
  <c r="H11" i="6"/>
  <c r="H8" i="6"/>
  <c r="H7" i="6"/>
  <c r="F7" i="6"/>
  <c r="F36" i="6"/>
  <c r="E35" i="6"/>
  <c r="E29" i="3"/>
  <c r="F19" i="3"/>
  <c r="E19" i="3"/>
  <c r="G7" i="3"/>
  <c r="G6" i="3"/>
  <c r="G35" i="3"/>
  <c r="F35" i="3"/>
  <c r="E34" i="3"/>
  <c r="G34" i="3" s="1"/>
  <c r="E182" i="1" l="1"/>
  <c r="E183" i="1" s="1"/>
  <c r="E177" i="1"/>
  <c r="E178" i="1"/>
  <c r="E184" i="1" s="1"/>
  <c r="H176" i="1"/>
  <c r="H178" i="1" s="1"/>
  <c r="H184" i="1" s="1"/>
  <c r="I174" i="1"/>
  <c r="I172" i="1"/>
  <c r="I161" i="1"/>
  <c r="I173" i="1" s="1"/>
  <c r="G177" i="1"/>
  <c r="G182" i="1"/>
  <c r="G183" i="1" s="1"/>
  <c r="I175" i="1"/>
  <c r="I170" i="1"/>
  <c r="I181" i="1"/>
  <c r="G178" i="1"/>
  <c r="G184" i="1" s="1"/>
  <c r="H182" i="1"/>
  <c r="H183" i="1" s="1"/>
  <c r="H177" i="1"/>
  <c r="J159" i="1"/>
  <c r="J160" i="1"/>
  <c r="G123" i="1"/>
  <c r="H123" i="1" s="1"/>
  <c r="I123" i="1" s="1"/>
  <c r="F123" i="1"/>
  <c r="L113" i="1"/>
  <c r="J175" i="1" l="1"/>
  <c r="J170" i="1"/>
  <c r="J181" i="1"/>
  <c r="I176" i="1"/>
  <c r="J174" i="1"/>
  <c r="J172" i="1"/>
  <c r="J161" i="1"/>
  <c r="J173" i="1" s="1"/>
  <c r="E18" i="1"/>
  <c r="J176" i="1" l="1"/>
  <c r="J182" i="1" s="1"/>
  <c r="J183" i="1" s="1"/>
  <c r="J177" i="1"/>
  <c r="I177" i="1"/>
  <c r="I182" i="1"/>
  <c r="I183" i="1" s="1"/>
  <c r="I178" i="1"/>
  <c r="I184" i="1" s="1"/>
  <c r="J178" i="1"/>
  <c r="J184" i="1" s="1"/>
  <c r="F38" i="7"/>
  <c r="F11" i="7"/>
  <c r="G35" i="7"/>
  <c r="E16" i="7"/>
  <c r="E30" i="7" s="1"/>
  <c r="G8" i="7"/>
  <c r="G7" i="7"/>
  <c r="E43" i="7"/>
  <c r="E45" i="7" s="1"/>
  <c r="E38" i="7"/>
  <c r="E13" i="7"/>
  <c r="E12" i="7"/>
  <c r="E19" i="7" s="1"/>
  <c r="G19" i="7" s="1"/>
  <c r="E9" i="7"/>
  <c r="G38" i="7" l="1"/>
  <c r="G43" i="7"/>
  <c r="E34" i="7"/>
  <c r="G34" i="7" s="1"/>
  <c r="F16" i="7"/>
  <c r="F30" i="7" s="1"/>
  <c r="G16" i="7"/>
  <c r="G30" i="7"/>
  <c r="F9" i="7"/>
  <c r="F17" i="7" s="1"/>
  <c r="F18" i="7" s="1"/>
  <c r="F44" i="7"/>
  <c r="G44" i="7" s="1"/>
  <c r="F39" i="7"/>
  <c r="E20" i="7"/>
  <c r="E17" i="7"/>
  <c r="E37" i="7" s="1"/>
  <c r="E46" i="7"/>
  <c r="F9" i="6"/>
  <c r="F36" i="3"/>
  <c r="G38" i="6"/>
  <c r="G30" i="6" s="1"/>
  <c r="F38" i="6"/>
  <c r="F31" i="6" s="1"/>
  <c r="H36" i="6"/>
  <c r="H37" i="6"/>
  <c r="H13" i="6"/>
  <c r="G16" i="6"/>
  <c r="G15" i="6"/>
  <c r="G14" i="6"/>
  <c r="G25" i="6" s="1"/>
  <c r="D36" i="6"/>
  <c r="D35" i="6"/>
  <c r="D38" i="6" s="1"/>
  <c r="D39" i="6" s="1"/>
  <c r="H20" i="6"/>
  <c r="H18" i="6"/>
  <c r="F15" i="6"/>
  <c r="F26" i="6" s="1"/>
  <c r="E15" i="6"/>
  <c r="E26" i="6" s="1"/>
  <c r="D15" i="6"/>
  <c r="D26" i="6" s="1"/>
  <c r="D42" i="6" s="1"/>
  <c r="E14" i="6"/>
  <c r="E25" i="6" s="1"/>
  <c r="D14" i="6"/>
  <c r="H9" i="6"/>
  <c r="E9" i="6"/>
  <c r="E11" i="6" s="1"/>
  <c r="F11" i="6" s="1"/>
  <c r="F16" i="6" s="1"/>
  <c r="D9" i="6"/>
  <c r="D11" i="6" s="1"/>
  <c r="D16" i="6" s="1"/>
  <c r="D29" i="6" s="1"/>
  <c r="H29" i="6" s="1"/>
  <c r="H15" i="6" l="1"/>
  <c r="G17" i="7"/>
  <c r="E36" i="7"/>
  <c r="G36" i="7" s="1"/>
  <c r="G20" i="7"/>
  <c r="G9" i="7"/>
  <c r="F31" i="7"/>
  <c r="F32" i="7" s="1"/>
  <c r="E39" i="7"/>
  <c r="F45" i="7"/>
  <c r="G45" i="7" s="1"/>
  <c r="E31" i="7"/>
  <c r="E18" i="7"/>
  <c r="G18" i="7" s="1"/>
  <c r="G26" i="6"/>
  <c r="G27" i="6" s="1"/>
  <c r="F14" i="6"/>
  <c r="F25" i="6" s="1"/>
  <c r="H25" i="6" s="1"/>
  <c r="F10" i="6"/>
  <c r="D40" i="6"/>
  <c r="E27" i="6"/>
  <c r="E16" i="6"/>
  <c r="H16" i="6" s="1"/>
  <c r="D30" i="6"/>
  <c r="D25" i="6"/>
  <c r="D31" i="6" l="1"/>
  <c r="D41" i="6" s="1"/>
  <c r="D43" i="6" s="1"/>
  <c r="D44" i="6" s="1"/>
  <c r="H30" i="6"/>
  <c r="H31" i="6" s="1"/>
  <c r="I31" i="6" s="1"/>
  <c r="D27" i="6"/>
  <c r="D33" i="6" s="1"/>
  <c r="D45" i="6" s="1"/>
  <c r="I25" i="6"/>
  <c r="E38" i="6"/>
  <c r="H35" i="6"/>
  <c r="H38" i="6" s="1"/>
  <c r="G39" i="7"/>
  <c r="E32" i="7"/>
  <c r="G31" i="7"/>
  <c r="G32" i="7"/>
  <c r="F46" i="7"/>
  <c r="H14" i="6"/>
  <c r="H26" i="6"/>
  <c r="F27" i="6"/>
  <c r="H27" i="6" s="1"/>
  <c r="D32" i="6"/>
  <c r="G53" i="5"/>
  <c r="G51" i="5"/>
  <c r="M53" i="5"/>
  <c r="L53" i="5"/>
  <c r="K53" i="5"/>
  <c r="M51" i="5"/>
  <c r="L51" i="5"/>
  <c r="K51" i="5"/>
  <c r="K42" i="5"/>
  <c r="K28" i="5"/>
  <c r="K47" i="5"/>
  <c r="K38" i="5"/>
  <c r="K22" i="5"/>
  <c r="K39" i="5" s="1"/>
  <c r="M39" i="5" s="1"/>
  <c r="K21" i="5"/>
  <c r="K37" i="5" s="1"/>
  <c r="K20" i="5"/>
  <c r="K14" i="5"/>
  <c r="K13" i="5"/>
  <c r="K46" i="5"/>
  <c r="K48" i="5" s="1"/>
  <c r="K40" i="5"/>
  <c r="M40" i="5" s="1"/>
  <c r="K33" i="5"/>
  <c r="K9" i="5"/>
  <c r="K18" i="5" s="1"/>
  <c r="L8" i="5"/>
  <c r="L12" i="5" s="1"/>
  <c r="L20" i="5" s="1"/>
  <c r="L38" i="5" s="1"/>
  <c r="F42" i="5"/>
  <c r="F28" i="5"/>
  <c r="F34" i="5"/>
  <c r="D9" i="5"/>
  <c r="D18" i="5" s="1"/>
  <c r="D42" i="5" s="1"/>
  <c r="G28" i="2"/>
  <c r="G9" i="5"/>
  <c r="G18" i="5" s="1"/>
  <c r="F9" i="5"/>
  <c r="H40" i="5"/>
  <c r="H39" i="5"/>
  <c r="H37" i="5"/>
  <c r="H33" i="5"/>
  <c r="G38" i="5"/>
  <c r="G41" i="5" s="1"/>
  <c r="H41" i="5" s="1"/>
  <c r="G20" i="5"/>
  <c r="H47" i="5"/>
  <c r="G48" i="5"/>
  <c r="G49" i="5" s="1"/>
  <c r="G47" i="5"/>
  <c r="F14" i="5"/>
  <c r="G12" i="5"/>
  <c r="G8" i="5"/>
  <c r="F40" i="5"/>
  <c r="F47" i="5"/>
  <c r="D46" i="5"/>
  <c r="F46" i="5" s="1"/>
  <c r="H46" i="5" s="1"/>
  <c r="F13" i="5"/>
  <c r="F16" i="5"/>
  <c r="E13" i="5"/>
  <c r="D13" i="5"/>
  <c r="E18" i="5"/>
  <c r="E42" i="5" s="1"/>
  <c r="E17" i="5"/>
  <c r="E40" i="5" s="1"/>
  <c r="E14" i="5"/>
  <c r="E10" i="5"/>
  <c r="D17" i="5"/>
  <c r="D33" i="5" s="1"/>
  <c r="D14" i="5"/>
  <c r="I38" i="6" l="1"/>
  <c r="H39" i="6"/>
  <c r="H41" i="6" s="1"/>
  <c r="H42" i="6"/>
  <c r="I26" i="6"/>
  <c r="H32" i="6"/>
  <c r="I14" i="6"/>
  <c r="G41" i="7"/>
  <c r="G46" i="7"/>
  <c r="G47" i="7" s="1"/>
  <c r="G40" i="7"/>
  <c r="G48" i="7"/>
  <c r="G49" i="7" s="1"/>
  <c r="G50" i="7"/>
  <c r="F48" i="5"/>
  <c r="F49" i="5" s="1"/>
  <c r="F51" i="5" s="1"/>
  <c r="F53" i="5" s="1"/>
  <c r="H48" i="5"/>
  <c r="E46" i="5"/>
  <c r="E48" i="5" s="1"/>
  <c r="E49" i="5" s="1"/>
  <c r="E50" i="5" s="1"/>
  <c r="D48" i="5"/>
  <c r="D49" i="5" s="1"/>
  <c r="H33" i="6"/>
  <c r="H45" i="6" s="1"/>
  <c r="I27" i="6"/>
  <c r="L41" i="5"/>
  <c r="M38" i="5"/>
  <c r="K49" i="5"/>
  <c r="K34" i="5"/>
  <c r="K35" i="5" s="1"/>
  <c r="M18" i="5"/>
  <c r="K19" i="5"/>
  <c r="K41" i="5"/>
  <c r="M37" i="5"/>
  <c r="L9" i="5"/>
  <c r="L18" i="5" s="1"/>
  <c r="M33" i="5"/>
  <c r="M46" i="5"/>
  <c r="L47" i="5"/>
  <c r="L48" i="5" s="1"/>
  <c r="H38" i="5"/>
  <c r="H49" i="5"/>
  <c r="H51" i="5" s="1"/>
  <c r="H53" i="5" s="1"/>
  <c r="G34" i="5"/>
  <c r="G35" i="5" s="1"/>
  <c r="G45" i="5" s="1"/>
  <c r="G54" i="5" s="1"/>
  <c r="G19" i="5"/>
  <c r="G50" i="5"/>
  <c r="F50" i="5"/>
  <c r="D10" i="5"/>
  <c r="F18" i="5"/>
  <c r="H18" i="5" s="1"/>
  <c r="H50" i="5" s="1"/>
  <c r="E21" i="5"/>
  <c r="D21" i="5"/>
  <c r="D37" i="5" s="1"/>
  <c r="E33" i="5"/>
  <c r="E19" i="5"/>
  <c r="E34" i="5"/>
  <c r="D50" i="5"/>
  <c r="D19" i="5"/>
  <c r="D34" i="5"/>
  <c r="D35" i="5" s="1"/>
  <c r="D40" i="5"/>
  <c r="I140" i="1"/>
  <c r="I115" i="1"/>
  <c r="H40" i="6" l="1"/>
  <c r="H43" i="6"/>
  <c r="H44" i="6" s="1"/>
  <c r="I33" i="6"/>
  <c r="I45" i="6" s="1"/>
  <c r="L49" i="5"/>
  <c r="L50" i="5" s="1"/>
  <c r="M47" i="5"/>
  <c r="K44" i="5"/>
  <c r="M41" i="5"/>
  <c r="M48" i="5"/>
  <c r="L19" i="5"/>
  <c r="L34" i="5"/>
  <c r="L35" i="5" s="1"/>
  <c r="L45" i="5" s="1"/>
  <c r="L54" i="5" s="1"/>
  <c r="M19" i="5"/>
  <c r="M34" i="5"/>
  <c r="M49" i="5"/>
  <c r="M50" i="5" s="1"/>
  <c r="K50" i="5"/>
  <c r="K45" i="5"/>
  <c r="M35" i="5"/>
  <c r="H34" i="5"/>
  <c r="F19" i="5"/>
  <c r="D22" i="5"/>
  <c r="E37" i="5"/>
  <c r="F21" i="5"/>
  <c r="F37" i="5" s="1"/>
  <c r="E35" i="5"/>
  <c r="E22" i="5"/>
  <c r="I141" i="1"/>
  <c r="E115" i="1"/>
  <c r="E120" i="1" s="1"/>
  <c r="E116" i="1"/>
  <c r="E119" i="1"/>
  <c r="E131" i="1" s="1"/>
  <c r="E140" i="1"/>
  <c r="E141" i="1" s="1"/>
  <c r="F118" i="1"/>
  <c r="G118" i="1" s="1"/>
  <c r="G126" i="1"/>
  <c r="H126" i="1" s="1"/>
  <c r="I126" i="1" s="1"/>
  <c r="F126" i="1"/>
  <c r="H140" i="1"/>
  <c r="H115" i="1"/>
  <c r="G140" i="1"/>
  <c r="F140" i="1"/>
  <c r="G116" i="1"/>
  <c r="F116" i="1"/>
  <c r="G115" i="1"/>
  <c r="F115" i="1"/>
  <c r="M45" i="5" l="1"/>
  <c r="M54" i="5" s="1"/>
  <c r="K54" i="5"/>
  <c r="H19" i="5"/>
  <c r="E39" i="5"/>
  <c r="F22" i="5"/>
  <c r="F39" i="5" s="1"/>
  <c r="D39" i="5"/>
  <c r="E142" i="1"/>
  <c r="E121" i="1"/>
  <c r="E134" i="1" s="1"/>
  <c r="E133" i="1"/>
  <c r="E135" i="1"/>
  <c r="E136" i="1"/>
  <c r="H118" i="1"/>
  <c r="G119" i="1"/>
  <c r="G136" i="1" s="1"/>
  <c r="G120" i="1"/>
  <c r="G133" i="1" s="1"/>
  <c r="F120" i="1"/>
  <c r="F121" i="1" s="1"/>
  <c r="F134" i="1" s="1"/>
  <c r="F119" i="1"/>
  <c r="F136" i="1" s="1"/>
  <c r="H141" i="1"/>
  <c r="G135" i="1"/>
  <c r="G121" i="1"/>
  <c r="G134" i="1" s="1"/>
  <c r="F141" i="1"/>
  <c r="F142" i="1" s="1"/>
  <c r="G141" i="1"/>
  <c r="P73" i="1"/>
  <c r="P72" i="1"/>
  <c r="L80" i="1"/>
  <c r="M80" i="1" s="1"/>
  <c r="N80" i="1" s="1"/>
  <c r="O80" i="1" s="1"/>
  <c r="P80" i="1" s="1"/>
  <c r="Q80" i="1" s="1"/>
  <c r="R80" i="1" s="1"/>
  <c r="M75" i="1"/>
  <c r="M81" i="1" s="1"/>
  <c r="L75" i="1"/>
  <c r="L81" i="1" s="1"/>
  <c r="R72" i="1"/>
  <c r="O72" i="1"/>
  <c r="O75" i="1" s="1"/>
  <c r="O81" i="1" s="1"/>
  <c r="Q72" i="1"/>
  <c r="N72" i="1"/>
  <c r="N75" i="1" s="1"/>
  <c r="N81" i="1" s="1"/>
  <c r="J92" i="1"/>
  <c r="D78" i="1"/>
  <c r="D46" i="1"/>
  <c r="D47" i="1" s="1"/>
  <c r="D48" i="1" s="1"/>
  <c r="D49" i="1" s="1"/>
  <c r="D50" i="1" s="1"/>
  <c r="D51" i="1" s="1"/>
  <c r="D52" i="1" s="1"/>
  <c r="P75" i="1" l="1"/>
  <c r="P81" i="1" s="1"/>
  <c r="F131" i="1"/>
  <c r="G142" i="1"/>
  <c r="I71" i="1"/>
  <c r="G131" i="1"/>
  <c r="F133" i="1"/>
  <c r="H120" i="1"/>
  <c r="H135" i="1" s="1"/>
  <c r="I118" i="1"/>
  <c r="E41" i="5"/>
  <c r="D41" i="5"/>
  <c r="D45" i="5" s="1"/>
  <c r="F135" i="1"/>
  <c r="E137" i="1"/>
  <c r="H119" i="1"/>
  <c r="H142" i="1" s="1"/>
  <c r="G137" i="1"/>
  <c r="D79" i="1"/>
  <c r="I36" i="2"/>
  <c r="I29" i="2"/>
  <c r="I21" i="2"/>
  <c r="I15" i="2"/>
  <c r="I14" i="2"/>
  <c r="I28" i="2" s="1"/>
  <c r="I30" i="2" s="1"/>
  <c r="I11" i="2"/>
  <c r="I8" i="2"/>
  <c r="I10" i="2" s="1"/>
  <c r="I17" i="2" s="1"/>
  <c r="I32" i="2" s="1"/>
  <c r="F137" i="1" l="1"/>
  <c r="F139" i="1" s="1"/>
  <c r="F145" i="1" s="1"/>
  <c r="H133" i="1"/>
  <c r="G139" i="1"/>
  <c r="G145" i="1" s="1"/>
  <c r="H121" i="1"/>
  <c r="H134" i="1" s="1"/>
  <c r="I120" i="1"/>
  <c r="I119" i="1"/>
  <c r="E51" i="5"/>
  <c r="E45" i="5"/>
  <c r="E54" i="5" s="1"/>
  <c r="E43" i="5"/>
  <c r="D51" i="5"/>
  <c r="D43" i="5"/>
  <c r="D54" i="5"/>
  <c r="E138" i="1"/>
  <c r="E143" i="1"/>
  <c r="E144" i="1" s="1"/>
  <c r="E139" i="1"/>
  <c r="E145" i="1" s="1"/>
  <c r="H136" i="1"/>
  <c r="H131" i="1"/>
  <c r="G143" i="1"/>
  <c r="G144" i="1" s="1"/>
  <c r="G138" i="1"/>
  <c r="I72" i="1" s="1"/>
  <c r="D80" i="1"/>
  <c r="I34" i="2"/>
  <c r="I40" i="2"/>
  <c r="I41" i="2" s="1"/>
  <c r="I42" i="2" s="1"/>
  <c r="I18" i="2"/>
  <c r="I16" i="2"/>
  <c r="I33" i="1"/>
  <c r="I35" i="1" s="1"/>
  <c r="H33" i="1"/>
  <c r="H35" i="1" s="1"/>
  <c r="G33" i="1"/>
  <c r="G35" i="1" s="1"/>
  <c r="F33" i="1"/>
  <c r="F35" i="1" s="1"/>
  <c r="E33" i="1"/>
  <c r="E35" i="1" s="1"/>
  <c r="I12" i="1"/>
  <c r="H12" i="1"/>
  <c r="G12" i="1"/>
  <c r="F12" i="1"/>
  <c r="E12" i="1"/>
  <c r="I80" i="1" l="1"/>
  <c r="I75" i="1"/>
  <c r="I79" i="1"/>
  <c r="I78" i="1"/>
  <c r="I77" i="1"/>
  <c r="I76" i="1"/>
  <c r="F143" i="1"/>
  <c r="F144" i="1" s="1"/>
  <c r="F138" i="1"/>
  <c r="H137" i="1"/>
  <c r="H138" i="1" s="1"/>
  <c r="I142" i="1"/>
  <c r="I136" i="1"/>
  <c r="I131" i="1"/>
  <c r="I133" i="1"/>
  <c r="I135" i="1"/>
  <c r="I121" i="1"/>
  <c r="I134" i="1" s="1"/>
  <c r="F33" i="5"/>
  <c r="F35" i="5" s="1"/>
  <c r="H35" i="5" s="1"/>
  <c r="F41" i="5"/>
  <c r="F44" i="5" s="1"/>
  <c r="E52" i="5"/>
  <c r="E44" i="5"/>
  <c r="E53" i="5" s="1"/>
  <c r="D52" i="5"/>
  <c r="D44" i="5"/>
  <c r="D53" i="5" s="1"/>
  <c r="D81" i="1"/>
  <c r="H143" i="1" l="1"/>
  <c r="H144" i="1" s="1"/>
  <c r="H139" i="1"/>
  <c r="H145" i="1" s="1"/>
  <c r="I137" i="1"/>
  <c r="F45" i="5"/>
  <c r="D82" i="1"/>
  <c r="D35" i="3"/>
  <c r="D34" i="3"/>
  <c r="E36" i="3" s="1"/>
  <c r="G8" i="3"/>
  <c r="G12" i="3"/>
  <c r="F14" i="3"/>
  <c r="F25" i="3" s="1"/>
  <c r="F13" i="3"/>
  <c r="F29" i="3" s="1"/>
  <c r="F8" i="3"/>
  <c r="E14" i="3"/>
  <c r="E25" i="3" s="1"/>
  <c r="E13" i="3"/>
  <c r="E8" i="3"/>
  <c r="E10" i="3" s="1"/>
  <c r="E15" i="3" s="1"/>
  <c r="E28" i="3" s="1"/>
  <c r="D14" i="3"/>
  <c r="D25" i="3" s="1"/>
  <c r="D40" i="3" s="1"/>
  <c r="D13" i="3"/>
  <c r="D29" i="3" s="1"/>
  <c r="G29" i="3" s="1"/>
  <c r="D8" i="3"/>
  <c r="D10" i="3" s="1"/>
  <c r="D15" i="3" s="1"/>
  <c r="G13" i="3" l="1"/>
  <c r="I138" i="1"/>
  <c r="I143" i="1"/>
  <c r="I144" i="1" s="1"/>
  <c r="I139" i="1"/>
  <c r="I145" i="1" s="1"/>
  <c r="F54" i="5"/>
  <c r="H45" i="5"/>
  <c r="H54" i="5" s="1"/>
  <c r="D83" i="1"/>
  <c r="G25" i="3"/>
  <c r="G40" i="3" s="1"/>
  <c r="D36" i="3"/>
  <c r="G36" i="3"/>
  <c r="G37" i="3" s="1"/>
  <c r="G14" i="3"/>
  <c r="F10" i="3"/>
  <c r="F9" i="3" s="1"/>
  <c r="F24" i="3"/>
  <c r="F26" i="3" s="1"/>
  <c r="D24" i="3"/>
  <c r="D26" i="3" s="1"/>
  <c r="E24" i="3"/>
  <c r="D28" i="3"/>
  <c r="I14" i="1"/>
  <c r="I24" i="1"/>
  <c r="D37" i="3" l="1"/>
  <c r="D38" i="3" s="1"/>
  <c r="F15" i="3"/>
  <c r="E30" i="3"/>
  <c r="H36" i="3"/>
  <c r="D84" i="1"/>
  <c r="E26" i="3"/>
  <c r="G26" i="3" s="1"/>
  <c r="H26" i="3" s="1"/>
  <c r="G24" i="3"/>
  <c r="G38" i="3"/>
  <c r="D30" i="3"/>
  <c r="I29" i="1"/>
  <c r="I36" i="1"/>
  <c r="E21" i="2"/>
  <c r="F21" i="2" s="1"/>
  <c r="G21" i="2" s="1"/>
  <c r="H21" i="2" s="1"/>
  <c r="G15" i="3" l="1"/>
  <c r="F28" i="3"/>
  <c r="D39" i="3"/>
  <c r="D41" i="3" s="1"/>
  <c r="D42" i="3" s="1"/>
  <c r="D31" i="3"/>
  <c r="D32" i="3"/>
  <c r="D43" i="3" s="1"/>
  <c r="G11" i="4"/>
  <c r="G38" i="4"/>
  <c r="F38" i="4"/>
  <c r="E38" i="4"/>
  <c r="D38" i="4"/>
  <c r="E43" i="4"/>
  <c r="E44" i="4" s="1"/>
  <c r="E22" i="4"/>
  <c r="G15" i="4"/>
  <c r="G33" i="4" s="1"/>
  <c r="F15" i="4"/>
  <c r="F33" i="4" s="1"/>
  <c r="E15" i="4"/>
  <c r="E33" i="4" s="1"/>
  <c r="D15" i="4"/>
  <c r="D33" i="4" s="1"/>
  <c r="G14" i="4"/>
  <c r="G34" i="4" s="1"/>
  <c r="F14" i="4"/>
  <c r="F34" i="4" s="1"/>
  <c r="E14" i="4"/>
  <c r="E34" i="4" s="1"/>
  <c r="D14" i="4"/>
  <c r="D34" i="4" s="1"/>
  <c r="F11" i="4"/>
  <c r="D11" i="4"/>
  <c r="G8" i="4"/>
  <c r="G10" i="4" s="1"/>
  <c r="G16" i="4" s="1"/>
  <c r="F8" i="4"/>
  <c r="F10" i="4" s="1"/>
  <c r="F16" i="4" s="1"/>
  <c r="E8" i="4"/>
  <c r="E10" i="4" s="1"/>
  <c r="E16" i="4" s="1"/>
  <c r="D8" i="4"/>
  <c r="D10" i="4" s="1"/>
  <c r="D16" i="4" s="1"/>
  <c r="F30" i="3" l="1"/>
  <c r="G30" i="3" s="1"/>
  <c r="G28" i="3"/>
  <c r="E31" i="4"/>
  <c r="E17" i="4"/>
  <c r="E32" i="4" s="1"/>
  <c r="D31" i="4"/>
  <c r="D17" i="4"/>
  <c r="D32" i="4" s="1"/>
  <c r="F31" i="4"/>
  <c r="F17" i="4"/>
  <c r="G31" i="4"/>
  <c r="G17" i="4"/>
  <c r="D27" i="4"/>
  <c r="F27" i="4"/>
  <c r="G27" i="4"/>
  <c r="E28" i="4"/>
  <c r="D43" i="4"/>
  <c r="D44" i="4" s="1"/>
  <c r="F43" i="4"/>
  <c r="F44" i="4" s="1"/>
  <c r="G43" i="4"/>
  <c r="G44" i="4" s="1"/>
  <c r="F22" i="4"/>
  <c r="E27" i="4"/>
  <c r="E29" i="4" s="1"/>
  <c r="D28" i="4"/>
  <c r="F28" i="4"/>
  <c r="G28" i="4"/>
  <c r="E23" i="2"/>
  <c r="H40" i="2"/>
  <c r="H41" i="2" s="1"/>
  <c r="H15" i="2"/>
  <c r="H29" i="2" s="1"/>
  <c r="H14" i="2"/>
  <c r="H11" i="2"/>
  <c r="H8" i="2"/>
  <c r="H10" i="2" s="1"/>
  <c r="H17" i="2" s="1"/>
  <c r="E40" i="2"/>
  <c r="E41" i="2" s="1"/>
  <c r="H71" i="1" s="1"/>
  <c r="E15" i="2"/>
  <c r="E29" i="2" s="1"/>
  <c r="E14" i="2"/>
  <c r="E8" i="2"/>
  <c r="E10" i="2" s="1"/>
  <c r="E17" i="2" s="1"/>
  <c r="F40" i="2"/>
  <c r="F41" i="2" s="1"/>
  <c r="F15" i="2"/>
  <c r="F29" i="2" s="1"/>
  <c r="F14" i="2"/>
  <c r="F11" i="2"/>
  <c r="F8" i="2"/>
  <c r="F10" i="2" s="1"/>
  <c r="F17" i="2" s="1"/>
  <c r="G40" i="2"/>
  <c r="G41" i="2" s="1"/>
  <c r="D40" i="2"/>
  <c r="D41" i="2" s="1"/>
  <c r="G15" i="2"/>
  <c r="G29" i="2" s="1"/>
  <c r="D15" i="2"/>
  <c r="D29" i="2" s="1"/>
  <c r="G14" i="2"/>
  <c r="D14" i="2"/>
  <c r="G11" i="2"/>
  <c r="D11" i="2"/>
  <c r="G8" i="2"/>
  <c r="G10" i="2" s="1"/>
  <c r="G17" i="2" s="1"/>
  <c r="D8" i="2"/>
  <c r="D10" i="2" s="1"/>
  <c r="D17" i="2" s="1"/>
  <c r="F19" i="1"/>
  <c r="G19" i="1" s="1"/>
  <c r="H14" i="1"/>
  <c r="F9" i="1"/>
  <c r="G9" i="1"/>
  <c r="H29" i="1"/>
  <c r="E71" i="1"/>
  <c r="E29" i="1"/>
  <c r="E8" i="1"/>
  <c r="E13" i="1" s="1"/>
  <c r="E26" i="1" s="1"/>
  <c r="G71" i="1"/>
  <c r="G29" i="1"/>
  <c r="G8" i="1"/>
  <c r="G13" i="1" s="1"/>
  <c r="G26" i="1" s="1"/>
  <c r="F71" i="1"/>
  <c r="F29" i="1"/>
  <c r="F8" i="1"/>
  <c r="F13" i="1" s="1"/>
  <c r="G31" i="3" l="1"/>
  <c r="G39" i="3"/>
  <c r="G41" i="3" s="1"/>
  <c r="G42" i="3" s="1"/>
  <c r="G32" i="3"/>
  <c r="H30" i="3"/>
  <c r="G42" i="2"/>
  <c r="H42" i="2"/>
  <c r="D42" i="2"/>
  <c r="F42" i="2"/>
  <c r="E42" i="2"/>
  <c r="H27" i="1"/>
  <c r="H30" i="1" s="1"/>
  <c r="G34" i="2"/>
  <c r="G16" i="2"/>
  <c r="H34" i="2"/>
  <c r="H16" i="2"/>
  <c r="E36" i="2"/>
  <c r="G36" i="2"/>
  <c r="D34" i="2"/>
  <c r="D16" i="2"/>
  <c r="F34" i="2"/>
  <c r="F16" i="2"/>
  <c r="E34" i="2"/>
  <c r="E16" i="2"/>
  <c r="D36" i="2"/>
  <c r="F36" i="2"/>
  <c r="H36" i="2"/>
  <c r="E36" i="1"/>
  <c r="H36" i="1"/>
  <c r="G22" i="4"/>
  <c r="G32" i="4" s="1"/>
  <c r="F32" i="4"/>
  <c r="I27" i="1"/>
  <c r="I30" i="1" s="1"/>
  <c r="I32" i="1" s="1"/>
  <c r="F29" i="4"/>
  <c r="D35" i="4"/>
  <c r="D36" i="4" s="1"/>
  <c r="F35" i="4"/>
  <c r="F36" i="4" s="1"/>
  <c r="G29" i="4"/>
  <c r="D29" i="4"/>
  <c r="E35" i="4"/>
  <c r="R73" i="1"/>
  <c r="R75" i="1" s="1"/>
  <c r="R81" i="1" s="1"/>
  <c r="F14" i="1"/>
  <c r="F27" i="1" s="1"/>
  <c r="Q73" i="1" s="1"/>
  <c r="Q75" i="1" s="1"/>
  <c r="Q81" i="1" s="1"/>
  <c r="F26" i="1"/>
  <c r="F28" i="1"/>
  <c r="G14" i="1"/>
  <c r="G27" i="1" s="1"/>
  <c r="E28" i="1"/>
  <c r="E14" i="1"/>
  <c r="E27" i="1" s="1"/>
  <c r="F23" i="2"/>
  <c r="H18" i="2"/>
  <c r="H32" i="2"/>
  <c r="H28" i="2"/>
  <c r="H30" i="2" s="1"/>
  <c r="E32" i="2"/>
  <c r="E18" i="2"/>
  <c r="E33" i="2" s="1"/>
  <c r="E28" i="2"/>
  <c r="E30" i="2" s="1"/>
  <c r="F18" i="2"/>
  <c r="F32" i="2"/>
  <c r="F28" i="2"/>
  <c r="F30" i="2" s="1"/>
  <c r="G18" i="2"/>
  <c r="G32" i="2"/>
  <c r="D32" i="2"/>
  <c r="D18" i="2"/>
  <c r="D33" i="2" s="1"/>
  <c r="G30" i="2"/>
  <c r="D28" i="2"/>
  <c r="D30" i="2" s="1"/>
  <c r="G36" i="1"/>
  <c r="F24" i="1"/>
  <c r="G28" i="1"/>
  <c r="F36" i="1"/>
  <c r="H24" i="1"/>
  <c r="E24" i="1"/>
  <c r="G24" i="1"/>
  <c r="H32" i="3" l="1"/>
  <c r="H43" i="3" s="1"/>
  <c r="G43" i="3"/>
  <c r="H32" i="1"/>
  <c r="H31" i="1"/>
  <c r="F30" i="1"/>
  <c r="F37" i="1" s="1"/>
  <c r="F38" i="1" s="1"/>
  <c r="I39" i="1"/>
  <c r="I37" i="1"/>
  <c r="I38" i="1" s="1"/>
  <c r="E30" i="1"/>
  <c r="D37" i="4"/>
  <c r="D39" i="4" s="1"/>
  <c r="E37" i="4"/>
  <c r="E39" i="4" s="1"/>
  <c r="E36" i="4"/>
  <c r="F45" i="4"/>
  <c r="F46" i="4" s="1"/>
  <c r="G35" i="4"/>
  <c r="G36" i="4" s="1"/>
  <c r="D45" i="4"/>
  <c r="D46" i="4" s="1"/>
  <c r="E45" i="4"/>
  <c r="E46" i="4" s="1"/>
  <c r="F37" i="4"/>
  <c r="F39" i="4" s="1"/>
  <c r="H37" i="1"/>
  <c r="H38" i="1" s="1"/>
  <c r="Q34" i="2" s="1"/>
  <c r="G23" i="2"/>
  <c r="F33" i="2"/>
  <c r="E35" i="2"/>
  <c r="F35" i="2"/>
  <c r="D35" i="2"/>
  <c r="G30" i="1"/>
  <c r="H39" i="1"/>
  <c r="F37" i="2" l="1"/>
  <c r="F44" i="2" s="1"/>
  <c r="F39" i="2"/>
  <c r="D37" i="2"/>
  <c r="D39" i="2"/>
  <c r="E37" i="2"/>
  <c r="E39" i="2"/>
  <c r="G32" i="1"/>
  <c r="G39" i="1" s="1"/>
  <c r="E31" i="1"/>
  <c r="E32" i="1"/>
  <c r="E39" i="1" s="1"/>
  <c r="F32" i="1"/>
  <c r="F39" i="1" s="1"/>
  <c r="E46" i="2"/>
  <c r="D46" i="2"/>
  <c r="F38" i="2"/>
  <c r="F31" i="1"/>
  <c r="E37" i="1"/>
  <c r="E38" i="1" s="1"/>
  <c r="M34" i="2" s="1"/>
  <c r="G37" i="4"/>
  <c r="G39" i="4" s="1"/>
  <c r="G45" i="4"/>
  <c r="G46" i="4" s="1"/>
  <c r="G31" i="1"/>
  <c r="G37" i="1"/>
  <c r="G38" i="1" s="1"/>
  <c r="H23" i="2"/>
  <c r="G33" i="2"/>
  <c r="F43" i="2"/>
  <c r="D43" i="2"/>
  <c r="E43" i="2"/>
  <c r="F46" i="2"/>
  <c r="E38" i="2" l="1"/>
  <c r="E45" i="2" s="1"/>
  <c r="E44" i="2"/>
  <c r="H72" i="1"/>
  <c r="D38" i="2"/>
  <c r="D45" i="2" s="1"/>
  <c r="D44" i="2"/>
  <c r="H33" i="2"/>
  <c r="I23" i="2"/>
  <c r="I33" i="2" s="1"/>
  <c r="I35" i="2" s="1"/>
  <c r="G75" i="1"/>
  <c r="G72" i="1"/>
  <c r="E75" i="1"/>
  <c r="E72" i="1"/>
  <c r="F75" i="1"/>
  <c r="F72" i="1"/>
  <c r="G81" i="1"/>
  <c r="G80" i="1"/>
  <c r="G79" i="1"/>
  <c r="G78" i="1"/>
  <c r="G77" i="1"/>
  <c r="G76" i="1"/>
  <c r="G82" i="1"/>
  <c r="G52" i="1"/>
  <c r="G51" i="1"/>
  <c r="G50" i="1"/>
  <c r="G49" i="1"/>
  <c r="G48" i="1"/>
  <c r="G47" i="1"/>
  <c r="G46" i="1"/>
  <c r="G45" i="1"/>
  <c r="G44" i="1"/>
  <c r="E84" i="1"/>
  <c r="E83" i="1"/>
  <c r="E81" i="1"/>
  <c r="E80" i="1"/>
  <c r="E79" i="1"/>
  <c r="E78" i="1"/>
  <c r="E77" i="1"/>
  <c r="E76" i="1"/>
  <c r="E82" i="1"/>
  <c r="E52" i="1"/>
  <c r="E51" i="1"/>
  <c r="E50" i="1"/>
  <c r="E49" i="1"/>
  <c r="E48" i="1"/>
  <c r="E47" i="1"/>
  <c r="E46" i="1"/>
  <c r="E45" i="1"/>
  <c r="E44" i="1"/>
  <c r="F82" i="1"/>
  <c r="F52" i="1"/>
  <c r="F51" i="1"/>
  <c r="F50" i="1"/>
  <c r="F49" i="1"/>
  <c r="F48" i="1"/>
  <c r="F47" i="1"/>
  <c r="F46" i="1"/>
  <c r="F45" i="1"/>
  <c r="F44" i="1"/>
  <c r="F84" i="1"/>
  <c r="F83" i="1"/>
  <c r="F81" i="1"/>
  <c r="F80" i="1"/>
  <c r="F79" i="1"/>
  <c r="F78" i="1"/>
  <c r="F77" i="1"/>
  <c r="F76" i="1"/>
  <c r="F45" i="2"/>
  <c r="H35" i="2"/>
  <c r="H39" i="2" s="1"/>
  <c r="G35" i="2"/>
  <c r="G39" i="2" s="1"/>
  <c r="H43" i="2" l="1"/>
  <c r="I39" i="2"/>
  <c r="I46" i="2" s="1"/>
  <c r="I38" i="2"/>
  <c r="I45" i="2" s="1"/>
  <c r="I43" i="2"/>
  <c r="H81" i="1"/>
  <c r="H75" i="1"/>
  <c r="H78" i="1"/>
  <c r="H80" i="1"/>
  <c r="H77" i="1"/>
  <c r="H82" i="1"/>
  <c r="H79" i="1"/>
  <c r="H83" i="1"/>
  <c r="H84" i="1"/>
  <c r="H76" i="1"/>
  <c r="H37" i="2"/>
  <c r="H46" i="2"/>
  <c r="G43" i="2"/>
  <c r="G46" i="2"/>
  <c r="G37" i="2"/>
  <c r="H38" i="2" l="1"/>
  <c r="H45" i="2" s="1"/>
  <c r="H44" i="2"/>
  <c r="G38" i="2"/>
  <c r="G44" i="2"/>
  <c r="G45" i="2"/>
</calcChain>
</file>

<file path=xl/sharedStrings.xml><?xml version="1.0" encoding="utf-8"?>
<sst xmlns="http://schemas.openxmlformats.org/spreadsheetml/2006/main" count="861" uniqueCount="184">
  <si>
    <t>SÄHKÖNTUOTANOKUSTANNUKSET</t>
  </si>
  <si>
    <t>Polttoaine</t>
  </si>
  <si>
    <t>Kivihiili</t>
  </si>
  <si>
    <t>Sähköteho</t>
  </si>
  <si>
    <t>MW</t>
  </si>
  <si>
    <t>Lämpöteho</t>
  </si>
  <si>
    <t>Hyötysuhde</t>
  </si>
  <si>
    <t>%</t>
  </si>
  <si>
    <t>Polttoaineteho</t>
  </si>
  <si>
    <t>Yhteensä</t>
  </si>
  <si>
    <t>Maakaasu</t>
  </si>
  <si>
    <t>Suoritusarvot</t>
  </si>
  <si>
    <t>Tyyppi</t>
  </si>
  <si>
    <t>Tuotanto</t>
  </si>
  <si>
    <t>Käyttötunnit</t>
  </si>
  <si>
    <t>h/a</t>
  </si>
  <si>
    <t>Sähkön tuotanto</t>
  </si>
  <si>
    <t>Lämmön tuotanto</t>
  </si>
  <si>
    <t>GWh</t>
  </si>
  <si>
    <t>Hinnat</t>
  </si>
  <si>
    <t>Sähkö</t>
  </si>
  <si>
    <t xml:space="preserve">Lämpö </t>
  </si>
  <si>
    <t>€/MWh</t>
  </si>
  <si>
    <t>Tuotot</t>
  </si>
  <si>
    <t>Lämpö</t>
  </si>
  <si>
    <t>k€</t>
  </si>
  <si>
    <t>Kustannukset</t>
  </si>
  <si>
    <t>Käyttökustannus</t>
  </si>
  <si>
    <t>Käyttö</t>
  </si>
  <si>
    <t>Käyttökate</t>
  </si>
  <si>
    <t>Investointi</t>
  </si>
  <si>
    <t>€/kW</t>
  </si>
  <si>
    <t>Takaisinmaksuaika</t>
  </si>
  <si>
    <t>a</t>
  </si>
  <si>
    <t>Kombi</t>
  </si>
  <si>
    <t>Valmisteverot</t>
  </si>
  <si>
    <t>Ydin</t>
  </si>
  <si>
    <t>CO2-sisältö</t>
  </si>
  <si>
    <t>kg/MWh</t>
  </si>
  <si>
    <t>CO2-vero</t>
  </si>
  <si>
    <t>€/t</t>
  </si>
  <si>
    <t>Polttoaineenkulutus</t>
  </si>
  <si>
    <t>CO2-päästöt</t>
  </si>
  <si>
    <t>kt</t>
  </si>
  <si>
    <t>CO2-verot</t>
  </si>
  <si>
    <t>Pääomakustannukset</t>
  </si>
  <si>
    <t>Pitoaika</t>
  </si>
  <si>
    <t>Korko</t>
  </si>
  <si>
    <t>Tuotantokustannukset</t>
  </si>
  <si>
    <t>Moottori</t>
  </si>
  <si>
    <t>Turbiini</t>
  </si>
  <si>
    <t>Puuhake</t>
  </si>
  <si>
    <t>Lämmitys</t>
  </si>
  <si>
    <t>Lämpötuotot</t>
  </si>
  <si>
    <t>Sähkökustannus</t>
  </si>
  <si>
    <t xml:space="preserve"> "</t>
  </si>
  <si>
    <t>"</t>
  </si>
  <si>
    <t>LÄMMÖNTUOTANTOKUSTANNUKSET</t>
  </si>
  <si>
    <t>Lämpö-</t>
  </si>
  <si>
    <t>keskus</t>
  </si>
  <si>
    <t>Raskapö.</t>
  </si>
  <si>
    <t>2(3)</t>
  </si>
  <si>
    <t>3(3)</t>
  </si>
  <si>
    <t>Tuotanto yhteensä</t>
  </si>
  <si>
    <t>Käyttökustannukset</t>
  </si>
  <si>
    <t>VOIMALAITOKSET</t>
  </si>
  <si>
    <t>LÄMPÖKESKUKSET</t>
  </si>
  <si>
    <t>YHDISTETYT LAITOKSET</t>
  </si>
  <si>
    <t>LIITE 1</t>
  </si>
  <si>
    <t>(5 %, 30 v.)</t>
  </si>
  <si>
    <t>Vuosikustannukset</t>
  </si>
  <si>
    <t>Voimala</t>
  </si>
  <si>
    <t>Lämpöputki</t>
  </si>
  <si>
    <t>€/kWt</t>
  </si>
  <si>
    <t>€/kWe</t>
  </si>
  <si>
    <t>Lauhdeajo</t>
  </si>
  <si>
    <t>Lämmitysajo</t>
  </si>
  <si>
    <t>Erotus</t>
  </si>
  <si>
    <t xml:space="preserve">                   Kaukolämpöydinvoimala</t>
  </si>
  <si>
    <t>Ydin-</t>
  </si>
  <si>
    <t>lauhdutus</t>
  </si>
  <si>
    <t>lämpök.</t>
  </si>
  <si>
    <t>Hiili</t>
  </si>
  <si>
    <t>Kaasu</t>
  </si>
  <si>
    <t>eur</t>
  </si>
  <si>
    <t>h</t>
  </si>
  <si>
    <t>Pelkkää sähköä</t>
  </si>
  <si>
    <t xml:space="preserve"> - 7500 h/a</t>
  </si>
  <si>
    <t>Ydinvoima</t>
  </si>
  <si>
    <t>Sähkö ja lämpö</t>
  </si>
  <si>
    <t xml:space="preserve"> - 5000 h/a</t>
  </si>
  <si>
    <t>Tuulivoima</t>
  </si>
  <si>
    <t>€/kWa</t>
  </si>
  <si>
    <t>CO2-maksut</t>
  </si>
  <si>
    <t>Vesi-</t>
  </si>
  <si>
    <t>voima</t>
  </si>
  <si>
    <t>Tuuli-</t>
  </si>
  <si>
    <t>Hake</t>
  </si>
  <si>
    <t>CHP</t>
  </si>
  <si>
    <t>Hiili-</t>
  </si>
  <si>
    <t>Huippu-</t>
  </si>
  <si>
    <t>Tuuli</t>
  </si>
  <si>
    <t>Vesi</t>
  </si>
  <si>
    <t>Huippu</t>
  </si>
  <si>
    <t>Kaasu-</t>
  </si>
  <si>
    <t>hake CHP</t>
  </si>
  <si>
    <t>KaasuCHP</t>
  </si>
  <si>
    <t>Raskasöljy</t>
  </si>
  <si>
    <t>kombi</t>
  </si>
  <si>
    <t>maalla</t>
  </si>
  <si>
    <t>merellä</t>
  </si>
  <si>
    <t>moottori</t>
  </si>
  <si>
    <t>Bioöljy</t>
  </si>
  <si>
    <t>Dieselöljy</t>
  </si>
  <si>
    <t>Talvella</t>
  </si>
  <si>
    <t>Lämpöpumppu</t>
  </si>
  <si>
    <t>Kesällä</t>
  </si>
  <si>
    <t>Sähköhyötysuhde</t>
  </si>
  <si>
    <t>Lämpöteho yhteensä</t>
  </si>
  <si>
    <t>Sähkönkulutus</t>
  </si>
  <si>
    <t>Hybridi</t>
  </si>
  <si>
    <t>Lämpöp.</t>
  </si>
  <si>
    <t>LÄMMÖNTUOTANTOKUSTANNUKSET HYBRIDILÄMMITYS</t>
  </si>
  <si>
    <t>KATTILA JA</t>
  </si>
  <si>
    <t>PUMPPU</t>
  </si>
  <si>
    <t>Voimala ja</t>
  </si>
  <si>
    <t>pumppu</t>
  </si>
  <si>
    <t>Öljy</t>
  </si>
  <si>
    <t>Lämmitys-</t>
  </si>
  <si>
    <t>ajo</t>
  </si>
  <si>
    <t>Lauhde-</t>
  </si>
  <si>
    <t>Lämmön siirto</t>
  </si>
  <si>
    <t>lauhdutus-</t>
  </si>
  <si>
    <t>voimala</t>
  </si>
  <si>
    <t>Lämmön hinta</t>
  </si>
  <si>
    <t>LÄMMÖNTUOTANTOKUSTANNUKSET 20 MW:LLA KAASUA 35 MW LÄMPÖÄ</t>
  </si>
  <si>
    <t>Käyttöaika</t>
  </si>
  <si>
    <t>Laskentakorko 5 %</t>
  </si>
  <si>
    <t>Raskas polttoöljy</t>
  </si>
  <si>
    <t>eur/t</t>
  </si>
  <si>
    <t>Tuontihinta</t>
  </si>
  <si>
    <t>eur/MWh</t>
  </si>
  <si>
    <t xml:space="preserve"> Laskentkorko 5 %</t>
  </si>
  <si>
    <t>HakeCHP</t>
  </si>
  <si>
    <t>Omakustannushinta</t>
  </si>
  <si>
    <t>Kivihiili-</t>
  </si>
  <si>
    <t>Maakaasu-</t>
  </si>
  <si>
    <t>Fuel</t>
  </si>
  <si>
    <t>Type</t>
  </si>
  <si>
    <t>Gas</t>
  </si>
  <si>
    <t>Heavy oil</t>
  </si>
  <si>
    <t>Bio oil</t>
  </si>
  <si>
    <t>Diesel oil</t>
  </si>
  <si>
    <t>engine</t>
  </si>
  <si>
    <t>Performance</t>
  </si>
  <si>
    <t>Electricity output</t>
  </si>
  <si>
    <t>Efficiency</t>
  </si>
  <si>
    <t>Fuel input</t>
  </si>
  <si>
    <t>CO2-content</t>
  </si>
  <si>
    <t>Operation</t>
  </si>
  <si>
    <t>Full power hours</t>
  </si>
  <si>
    <t>Electricity generation</t>
  </si>
  <si>
    <t>Fuel consumptio</t>
  </si>
  <si>
    <t>CO2-emissions</t>
  </si>
  <si>
    <t>Prices</t>
  </si>
  <si>
    <t>Electricity</t>
  </si>
  <si>
    <t>CO2-allowance</t>
  </si>
  <si>
    <t>Taxes</t>
  </si>
  <si>
    <t>Fuel costs</t>
  </si>
  <si>
    <t>Investment</t>
  </si>
  <si>
    <t>Revenues</t>
  </si>
  <si>
    <t>Annual costs</t>
  </si>
  <si>
    <t>CO2-allowances</t>
  </si>
  <si>
    <t>O&amp;M</t>
  </si>
  <si>
    <t>Total</t>
  </si>
  <si>
    <t>Operation profit</t>
  </si>
  <si>
    <t>Capital costs</t>
  </si>
  <si>
    <t>(5 %, 20 a.)</t>
  </si>
  <si>
    <t>Generation costs</t>
  </si>
  <si>
    <t>Specific costs</t>
  </si>
  <si>
    <t>Simple payback time</t>
  </si>
  <si>
    <t>GTCC</t>
  </si>
  <si>
    <t>Coal</t>
  </si>
  <si>
    <t>steam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</si>
</sst>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_-* #,##0.0\ _k_r_-;\-* #,##0.0\ _k_r_-;_-* &quot;-&quot;??\ _k_r_-;_-@_-"/>
    <numFmt numFmtId="165" formatCode="_-* #,##0\ _k_r_-;\-* #,##0\ _k_r_-;_-* &quot;-&quot;??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165" fontId="0" fillId="0" borderId="2" xfId="1" applyNumberFormat="1" applyFont="1" applyBorder="1"/>
    <xf numFmtId="165" fontId="0" fillId="0" borderId="3" xfId="1" applyNumberFormat="1" applyFont="1" applyBorder="1"/>
    <xf numFmtId="0" fontId="0" fillId="0" borderId="0" xfId="0" applyBorder="1"/>
    <xf numFmtId="165" fontId="0" fillId="0" borderId="0" xfId="1" applyNumberFormat="1" applyFont="1" applyBorder="1"/>
    <xf numFmtId="165" fontId="0" fillId="0" borderId="8" xfId="1" applyNumberFormat="1" applyFont="1" applyBorder="1"/>
    <xf numFmtId="165" fontId="0" fillId="0" borderId="0" xfId="0" applyNumberFormat="1" applyBorder="1"/>
    <xf numFmtId="165" fontId="0" fillId="0" borderId="8" xfId="0" applyNumberFormat="1" applyBorder="1"/>
    <xf numFmtId="0" fontId="2" fillId="0" borderId="5" xfId="0" applyFont="1" applyBorder="1"/>
    <xf numFmtId="165" fontId="0" fillId="0" borderId="2" xfId="0" applyNumberFormat="1" applyBorder="1"/>
    <xf numFmtId="165" fontId="0" fillId="0" borderId="3" xfId="0" applyNumberFormat="1" applyBorder="1"/>
    <xf numFmtId="43" fontId="0" fillId="0" borderId="5" xfId="1" applyFont="1" applyBorder="1"/>
    <xf numFmtId="43" fontId="0" fillId="0" borderId="6" xfId="1" applyFont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165" fontId="0" fillId="0" borderId="5" xfId="1" applyNumberFormat="1" applyFont="1" applyBorder="1"/>
    <xf numFmtId="165" fontId="0" fillId="0" borderId="6" xfId="1" applyNumberFormat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0" fillId="0" borderId="0" xfId="1" applyNumberFormat="1" applyFont="1" applyBorder="1"/>
    <xf numFmtId="164" fontId="0" fillId="0" borderId="8" xfId="1" applyNumberFormat="1" applyFont="1" applyBorder="1"/>
    <xf numFmtId="0" fontId="2" fillId="0" borderId="0" xfId="0" applyFont="1" applyBorder="1"/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5" xfId="1" applyNumberFormat="1" applyFont="1" applyBorder="1"/>
    <xf numFmtId="164" fontId="2" fillId="0" borderId="6" xfId="1" applyNumberFormat="1" applyFont="1" applyBorder="1"/>
    <xf numFmtId="165" fontId="2" fillId="0" borderId="2" xfId="0" applyNumberFormat="1" applyFont="1" applyBorder="1"/>
    <xf numFmtId="165" fontId="2" fillId="0" borderId="3" xfId="0" applyNumberFormat="1" applyFont="1" applyBorder="1"/>
    <xf numFmtId="0" fontId="0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9" fontId="0" fillId="0" borderId="7" xfId="0" applyNumberFormat="1" applyBorder="1" applyAlignment="1">
      <alignment horizontal="center"/>
    </xf>
    <xf numFmtId="165" fontId="0" fillId="0" borderId="7" xfId="1" applyNumberFormat="1" applyFont="1" applyBorder="1"/>
    <xf numFmtId="165" fontId="0" fillId="0" borderId="7" xfId="0" applyNumberForma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0" borderId="1" xfId="0" applyBorder="1"/>
    <xf numFmtId="165" fontId="0" fillId="0" borderId="4" xfId="1" applyNumberFormat="1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43" fontId="0" fillId="0" borderId="4" xfId="1" applyFont="1" applyBorder="1"/>
    <xf numFmtId="164" fontId="2" fillId="0" borderId="4" xfId="1" applyNumberFormat="1" applyFont="1" applyBorder="1"/>
    <xf numFmtId="164" fontId="2" fillId="0" borderId="9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5" fontId="0" fillId="0" borderId="6" xfId="0" applyNumberFormat="1" applyBorder="1"/>
    <xf numFmtId="164" fontId="2" fillId="0" borderId="0" xfId="1" applyNumberFormat="1" applyFont="1" applyBorder="1"/>
    <xf numFmtId="0" fontId="0" fillId="0" borderId="12" xfId="0" applyBorder="1"/>
    <xf numFmtId="0" fontId="2" fillId="0" borderId="9" xfId="0" applyFont="1" applyBorder="1"/>
    <xf numFmtId="0" fontId="2" fillId="0" borderId="12" xfId="0" applyFont="1" applyBorder="1"/>
    <xf numFmtId="0" fontId="0" fillId="0" borderId="3" xfId="0" applyBorder="1" applyAlignment="1">
      <alignment horizontal="center"/>
    </xf>
    <xf numFmtId="164" fontId="0" fillId="0" borderId="7" xfId="1" applyNumberFormat="1" applyFont="1" applyBorder="1"/>
    <xf numFmtId="165" fontId="2" fillId="0" borderId="1" xfId="0" applyNumberFormat="1" applyFont="1" applyBorder="1"/>
    <xf numFmtId="165" fontId="2" fillId="0" borderId="9" xfId="0" applyNumberFormat="1" applyFont="1" applyBorder="1"/>
    <xf numFmtId="165" fontId="2" fillId="0" borderId="12" xfId="0" applyNumberFormat="1" applyFont="1" applyBorder="1"/>
    <xf numFmtId="165" fontId="2" fillId="0" borderId="10" xfId="0" applyNumberFormat="1" applyFont="1" applyBorder="1"/>
    <xf numFmtId="165" fontId="2" fillId="0" borderId="9" xfId="1" applyNumberFormat="1" applyFont="1" applyBorder="1"/>
    <xf numFmtId="165" fontId="2" fillId="0" borderId="12" xfId="1" applyNumberFormat="1" applyFont="1" applyBorder="1"/>
    <xf numFmtId="165" fontId="2" fillId="0" borderId="10" xfId="1" applyNumberFormat="1" applyFont="1" applyBorder="1"/>
    <xf numFmtId="164" fontId="1" fillId="0" borderId="7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1" fillId="0" borderId="4" xfId="1" applyNumberFormat="1" applyFont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4" fontId="0" fillId="0" borderId="14" xfId="1" applyNumberFormat="1" applyFont="1" applyBorder="1"/>
    <xf numFmtId="165" fontId="0" fillId="0" borderId="15" xfId="1" applyNumberFormat="1" applyFont="1" applyBorder="1"/>
    <xf numFmtId="165" fontId="2" fillId="0" borderId="11" xfId="1" applyNumberFormat="1" applyFont="1" applyBorder="1"/>
    <xf numFmtId="165" fontId="0" fillId="0" borderId="13" xfId="0" applyNumberFormat="1" applyBorder="1"/>
    <xf numFmtId="164" fontId="2" fillId="0" borderId="14" xfId="1" applyNumberFormat="1" applyFont="1" applyBorder="1"/>
    <xf numFmtId="165" fontId="2" fillId="0" borderId="11" xfId="0" applyNumberFormat="1" applyFont="1" applyBorder="1"/>
    <xf numFmtId="165" fontId="0" fillId="0" borderId="14" xfId="0" applyNumberFormat="1" applyBorder="1"/>
    <xf numFmtId="164" fontId="2" fillId="0" borderId="15" xfId="1" applyNumberFormat="1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0" fillId="0" borderId="4" xfId="0" applyBorder="1"/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7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2" borderId="7" xfId="1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5" fontId="0" fillId="2" borderId="8" xfId="1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0" xfId="0" applyFont="1" applyFill="1" applyBorder="1" applyAlignment="1">
      <alignment horizontal="center"/>
    </xf>
    <xf numFmtId="165" fontId="0" fillId="0" borderId="0" xfId="1" applyNumberFormat="1" applyFont="1" applyFill="1" applyBorder="1"/>
    <xf numFmtId="164" fontId="2" fillId="0" borderId="0" xfId="1" applyNumberFormat="1" applyFont="1" applyBorder="1" applyAlignment="1">
      <alignment horizontal="center"/>
    </xf>
    <xf numFmtId="165" fontId="0" fillId="0" borderId="12" xfId="0" applyNumberFormat="1" applyBorder="1"/>
    <xf numFmtId="165" fontId="0" fillId="0" borderId="10" xfId="0" applyNumberFormat="1" applyBorder="1"/>
    <xf numFmtId="165" fontId="0" fillId="0" borderId="9" xfId="0" applyNumberFormat="1" applyBorder="1"/>
    <xf numFmtId="165" fontId="2" fillId="0" borderId="0" xfId="0" applyNumberFormat="1" applyFont="1" applyBorder="1"/>
    <xf numFmtId="0" fontId="0" fillId="0" borderId="5" xfId="0" applyFill="1" applyBorder="1"/>
    <xf numFmtId="165" fontId="2" fillId="0" borderId="8" xfId="0" applyNumberFormat="1" applyFont="1" applyBorder="1"/>
    <xf numFmtId="165" fontId="2" fillId="0" borderId="0" xfId="1" applyNumberFormat="1" applyFont="1" applyBorder="1"/>
    <xf numFmtId="164" fontId="1" fillId="0" borderId="0" xfId="1" applyNumberFormat="1" applyFont="1" applyBorder="1"/>
    <xf numFmtId="1" fontId="0" fillId="0" borderId="7" xfId="0" applyNumberFormat="1" applyBorder="1" applyAlignment="1">
      <alignment horizontal="center"/>
    </xf>
    <xf numFmtId="165" fontId="2" fillId="0" borderId="7" xfId="1" applyNumberFormat="1" applyFont="1" applyBorder="1"/>
    <xf numFmtId="165" fontId="2" fillId="0" borderId="7" xfId="0" applyNumberFormat="1" applyFont="1" applyBorder="1"/>
    <xf numFmtId="164" fontId="1" fillId="0" borderId="7" xfId="1" applyNumberFormat="1" applyFont="1" applyBorder="1"/>
    <xf numFmtId="0" fontId="0" fillId="0" borderId="6" xfId="0" applyBorder="1"/>
    <xf numFmtId="1" fontId="0" fillId="0" borderId="7" xfId="0" applyNumberFormat="1" applyBorder="1"/>
    <xf numFmtId="0" fontId="2" fillId="0" borderId="7" xfId="0" applyFont="1" applyFill="1" applyBorder="1" applyAlignment="1">
      <alignment horizontal="center"/>
    </xf>
    <xf numFmtId="165" fontId="0" fillId="0" borderId="4" xfId="0" applyNumberFormat="1" applyBorder="1"/>
    <xf numFmtId="0" fontId="0" fillId="0" borderId="2" xfId="0" applyFont="1" applyBorder="1"/>
    <xf numFmtId="0" fontId="0" fillId="0" borderId="7" xfId="0" applyFont="1" applyBorder="1"/>
    <xf numFmtId="165" fontId="0" fillId="0" borderId="0" xfId="0" applyNumberFormat="1" applyFont="1" applyBorder="1"/>
    <xf numFmtId="165" fontId="0" fillId="0" borderId="7" xfId="0" applyNumberFormat="1" applyFont="1" applyBorder="1"/>
    <xf numFmtId="165" fontId="0" fillId="0" borderId="8" xfId="0" applyNumberFormat="1" applyFont="1" applyBorder="1"/>
    <xf numFmtId="0" fontId="0" fillId="0" borderId="1" xfId="0" applyFont="1" applyBorder="1"/>
    <xf numFmtId="165" fontId="0" fillId="0" borderId="3" xfId="0" applyNumberFormat="1" applyFont="1" applyBorder="1"/>
    <xf numFmtId="165" fontId="0" fillId="0" borderId="1" xfId="0" applyNumberFormat="1" applyFont="1" applyBorder="1"/>
    <xf numFmtId="1" fontId="0" fillId="0" borderId="8" xfId="0" applyNumberFormat="1" applyBorder="1" applyAlignment="1">
      <alignment horizontal="center"/>
    </xf>
    <xf numFmtId="1" fontId="0" fillId="0" borderId="8" xfId="1" applyNumberFormat="1" applyFont="1" applyBorder="1" applyAlignment="1">
      <alignment horizontal="center"/>
    </xf>
    <xf numFmtId="1" fontId="0" fillId="0" borderId="8" xfId="0" applyNumberFormat="1" applyBorder="1"/>
    <xf numFmtId="1" fontId="0" fillId="0" borderId="7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5" xfId="1" applyNumberFormat="1" applyFont="1" applyBorder="1"/>
    <xf numFmtId="0" fontId="2" fillId="0" borderId="13" xfId="0" applyFont="1" applyBorder="1"/>
    <xf numFmtId="165" fontId="2" fillId="0" borderId="14" xfId="1" quotePrefix="1" applyNumberFormat="1" applyFont="1" applyBorder="1"/>
    <xf numFmtId="165" fontId="2" fillId="0" borderId="14" xfId="1" applyNumberFormat="1" applyFont="1" applyBorder="1"/>
    <xf numFmtId="165" fontId="2" fillId="0" borderId="14" xfId="1" applyNumberFormat="1" applyFont="1" applyBorder="1" applyAlignment="1">
      <alignment horizontal="center"/>
    </xf>
    <xf numFmtId="165" fontId="2" fillId="0" borderId="14" xfId="0" applyNumberFormat="1" applyFont="1" applyBorder="1"/>
    <xf numFmtId="165" fontId="2" fillId="0" borderId="15" xfId="0" applyNumberFormat="1" applyFont="1" applyBorder="1"/>
    <xf numFmtId="0" fontId="2" fillId="0" borderId="14" xfId="0" applyFont="1" applyBorder="1"/>
    <xf numFmtId="165" fontId="2" fillId="0" borderId="13" xfId="0" applyNumberFormat="1" applyFont="1" applyBorder="1"/>
    <xf numFmtId="165" fontId="2" fillId="0" borderId="8" xfId="1" applyNumberFormat="1" applyFont="1" applyBorder="1"/>
    <xf numFmtId="43" fontId="2" fillId="0" borderId="6" xfId="1" applyFont="1" applyBorder="1"/>
    <xf numFmtId="165" fontId="0" fillId="0" borderId="0" xfId="1" applyNumberFormat="1" applyFont="1" applyFill="1" applyBorder="1" applyAlignment="1">
      <alignment horizontal="center"/>
    </xf>
    <xf numFmtId="164" fontId="0" fillId="0" borderId="6" xfId="1" applyNumberFormat="1" applyFont="1" applyBorder="1"/>
    <xf numFmtId="1" fontId="0" fillId="0" borderId="1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5" xfId="0" applyNumberFormat="1" applyBorder="1"/>
    <xf numFmtId="164" fontId="2" fillId="0" borderId="14" xfId="0" applyNumberFormat="1" applyFont="1" applyBorder="1"/>
    <xf numFmtId="9" fontId="0" fillId="0" borderId="0" xfId="2" applyFont="1" applyBorder="1" applyAlignment="1">
      <alignment horizontal="center"/>
    </xf>
    <xf numFmtId="0" fontId="2" fillId="0" borderId="3" xfId="0" applyFont="1" applyBorder="1"/>
    <xf numFmtId="165" fontId="0" fillId="0" borderId="9" xfId="1" applyNumberFormat="1" applyFont="1" applyBorder="1"/>
    <xf numFmtId="165" fontId="0" fillId="0" borderId="12" xfId="1" applyNumberFormat="1" applyFont="1" applyBorder="1"/>
    <xf numFmtId="43" fontId="2" fillId="0" borderId="4" xfId="1" applyFont="1" applyBorder="1"/>
    <xf numFmtId="1" fontId="0" fillId="0" borderId="0" xfId="1" applyNumberFormat="1" applyFont="1" applyBorder="1" applyAlignment="1">
      <alignment horizontal="center"/>
    </xf>
    <xf numFmtId="0" fontId="2" fillId="0" borderId="15" xfId="0" applyFont="1" applyBorder="1"/>
    <xf numFmtId="43" fontId="2" fillId="0" borderId="15" xfId="1" applyFont="1" applyBorder="1"/>
    <xf numFmtId="164" fontId="2" fillId="0" borderId="7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Sähkö!$E$43</c:f>
              <c:strCache>
                <c:ptCount val="1"/>
                <c:pt idx="0">
                  <c:v>Ydin</c:v>
                </c:pt>
              </c:strCache>
            </c:strRef>
          </c:tx>
          <c:xVal>
            <c:numRef>
              <c:f>Sähkö!$D$44:$D$52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xVal>
          <c:yVal>
            <c:numRef>
              <c:f>Sähkö!$E$44:$E$52</c:f>
              <c:numCache>
                <c:formatCode>_-* #,##0\ _k_r_-;\-* #,##0\ _k_r_-;_-* "-"??\ _k_r_-;_-@_-</c:formatCode>
                <c:ptCount val="9"/>
                <c:pt idx="0">
                  <c:v>597.78161166034999</c:v>
                </c:pt>
                <c:pt idx="1">
                  <c:v>306.390805830175</c:v>
                </c:pt>
                <c:pt idx="2">
                  <c:v>160.6954029150875</c:v>
                </c:pt>
                <c:pt idx="3">
                  <c:v>112.13026861005832</c:v>
                </c:pt>
                <c:pt idx="4">
                  <c:v>87.847701457543749</c:v>
                </c:pt>
                <c:pt idx="5">
                  <c:v>73.278161166035005</c:v>
                </c:pt>
                <c:pt idx="6">
                  <c:v>63.565134305029162</c:v>
                </c:pt>
                <c:pt idx="7">
                  <c:v>56.62725797573929</c:v>
                </c:pt>
                <c:pt idx="8">
                  <c:v>51.423850728771875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Sähkö!$F$43</c:f>
              <c:strCache>
                <c:ptCount val="1"/>
                <c:pt idx="0">
                  <c:v>Hiili</c:v>
                </c:pt>
              </c:strCache>
            </c:strRef>
          </c:tx>
          <c:xVal>
            <c:numRef>
              <c:f>Sähkö!$D$44:$D$52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xVal>
          <c:yVal>
            <c:numRef>
              <c:f>Sähkö!$F$44:$F$52</c:f>
              <c:numCache>
                <c:formatCode>_-* #,##0\ _k_r_-;\-* #,##0\ _k_r_-;_-* "-"??\ _k_r_-;_-@_-</c:formatCode>
                <c:ptCount val="9"/>
                <c:pt idx="0">
                  <c:v>262.9531636854565</c:v>
                </c:pt>
                <c:pt idx="1">
                  <c:v>158.87086755701395</c:v>
                </c:pt>
                <c:pt idx="2">
                  <c:v>106.82971949279269</c:v>
                </c:pt>
                <c:pt idx="3">
                  <c:v>89.482670138052271</c:v>
                </c:pt>
                <c:pt idx="4">
                  <c:v>80.809145460682061</c:v>
                </c:pt>
                <c:pt idx="5">
                  <c:v>75.605030654259934</c:v>
                </c:pt>
                <c:pt idx="6">
                  <c:v>72.13562078331185</c:v>
                </c:pt>
                <c:pt idx="7">
                  <c:v>69.657470875491782</c:v>
                </c:pt>
                <c:pt idx="8">
                  <c:v>67.798858444626745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Sähkö!$G$43</c:f>
              <c:strCache>
                <c:ptCount val="1"/>
                <c:pt idx="0">
                  <c:v>Kaasu</c:v>
                </c:pt>
              </c:strCache>
            </c:strRef>
          </c:tx>
          <c:xVal>
            <c:numRef>
              <c:f>Sähkö!$D$44:$D$52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xVal>
          <c:yVal>
            <c:numRef>
              <c:f>Sähkö!$G$44:$G$52</c:f>
              <c:numCache>
                <c:formatCode>_-* #,##0\ _k_r_-;\-* #,##0\ _k_r_-;_-* "-"??\ _k_r_-;_-@_-</c:formatCode>
                <c:ptCount val="9"/>
                <c:pt idx="0">
                  <c:v>184.59852254353689</c:v>
                </c:pt>
                <c:pt idx="1">
                  <c:v>132.5573744793156</c:v>
                </c:pt>
                <c:pt idx="2">
                  <c:v>106.53680044720497</c:v>
                </c:pt>
                <c:pt idx="3">
                  <c:v>97.863275769834758</c:v>
                </c:pt>
                <c:pt idx="4">
                  <c:v>93.526513431149652</c:v>
                </c:pt>
                <c:pt idx="5">
                  <c:v>90.924456027938589</c:v>
                </c:pt>
                <c:pt idx="6">
                  <c:v>89.189751092464547</c:v>
                </c:pt>
                <c:pt idx="7">
                  <c:v>87.950676138554513</c:v>
                </c:pt>
                <c:pt idx="8">
                  <c:v>87.021369923121995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Sähkö!$H$43</c:f>
              <c:strCache>
                <c:ptCount val="1"/>
              </c:strCache>
            </c:strRef>
          </c:tx>
          <c:xVal>
            <c:numRef>
              <c:f>Sähkö!$D$44:$D$52</c:f>
              <c:numCache>
                <c:formatCode>General</c:formatCode>
                <c:ptCount val="9"/>
                <c:pt idx="0">
                  <c:v>500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</c:numCache>
            </c:numRef>
          </c:xVal>
          <c:yVal>
            <c:numRef>
              <c:f>Sähkö!$H$44:$H$52</c:f>
              <c:numCache>
                <c:formatCode>_-* #,##0\ _k_r_-;\-* #,##0\ _k_r_-;_-* "-"??\ _k_r_-;_-@_-</c:formatCode>
                <c:ptCount val="9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41440"/>
        <c:axId val="170542976"/>
      </c:scatterChart>
      <c:valAx>
        <c:axId val="170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542976"/>
        <c:crosses val="autoZero"/>
        <c:crossBetween val="midCat"/>
      </c:valAx>
      <c:valAx>
        <c:axId val="170542976"/>
        <c:scaling>
          <c:orientation val="minMax"/>
        </c:scaling>
        <c:delete val="0"/>
        <c:axPos val="l"/>
        <c:majorGridlines/>
        <c:numFmt formatCode="_-* #,##0\ _k_r_-;\-* #,##0\ _k_r_-;_-* &quot;-&quot;??\ _k_r_-;_-@_-" sourceLinked="1"/>
        <c:majorTickMark val="out"/>
        <c:minorTickMark val="none"/>
        <c:tickLblPos val="nextTo"/>
        <c:crossAx val="170541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Sähkön tarjontakäyrä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8575">
              <a:noFill/>
            </a:ln>
          </c:spPr>
          <c:cat>
            <c:numRef>
              <c:f>Sähkö!$K$80:$R$80</c:f>
              <c:numCache>
                <c:formatCode>General</c:formatCode>
                <c:ptCount val="8"/>
                <c:pt idx="0">
                  <c:v>0</c:v>
                </c:pt>
                <c:pt idx="1">
                  <c:v>27000</c:v>
                </c:pt>
                <c:pt idx="2">
                  <c:v>32000</c:v>
                </c:pt>
                <c:pt idx="3">
                  <c:v>44000</c:v>
                </c:pt>
                <c:pt idx="4">
                  <c:v>54000</c:v>
                </c:pt>
                <c:pt idx="5">
                  <c:v>64000</c:v>
                </c:pt>
                <c:pt idx="6">
                  <c:v>70000</c:v>
                </c:pt>
                <c:pt idx="7">
                  <c:v>74000</c:v>
                </c:pt>
              </c:numCache>
            </c:numRef>
          </c:cat>
          <c:val>
            <c:numRef>
              <c:f>Sähkö!$K$81:$R$81</c:f>
              <c:numCache>
                <c:formatCode>_-* #,##0\ _k_r_-;\-* #,##0\ _k_r_-;_-* "-"??\ _k_r_-;_-@_-</c:formatCode>
                <c:ptCount val="8"/>
                <c:pt idx="0" formatCode="General">
                  <c:v>5</c:v>
                </c:pt>
                <c:pt idx="1">
                  <c:v>10</c:v>
                </c:pt>
                <c:pt idx="2">
                  <c:v>11</c:v>
                </c:pt>
                <c:pt idx="3">
                  <c:v>17</c:v>
                </c:pt>
                <c:pt idx="4">
                  <c:v>31.176470588235293</c:v>
                </c:pt>
                <c:pt idx="5">
                  <c:v>50.288888888888884</c:v>
                </c:pt>
                <c:pt idx="6">
                  <c:v>54.78857142857143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63072"/>
        <c:axId val="170564992"/>
      </c:areaChart>
      <c:catAx>
        <c:axId val="170563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Teho (MW)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0564992"/>
        <c:crosses val="autoZero"/>
        <c:auto val="1"/>
        <c:lblAlgn val="ctr"/>
        <c:lblOffset val="100"/>
        <c:noMultiLvlLbl val="0"/>
      </c:catAx>
      <c:valAx>
        <c:axId val="170564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€/MWh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0563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Voimalaitosten vuosikustannukset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Sähkö!$E$74</c:f>
              <c:strCache>
                <c:ptCount val="1"/>
                <c:pt idx="0">
                  <c:v>Ydin</c:v>
                </c:pt>
              </c:strCache>
            </c:strRef>
          </c:tx>
          <c:xVal>
            <c:numRef>
              <c:f>Sähkö!$D$75:$D$84</c:f>
              <c:numCache>
                <c:formatCode>General</c:formatCode>
                <c:ptCount val="10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</c:numCache>
            </c:numRef>
          </c:xVal>
          <c:yVal>
            <c:numRef>
              <c:f>Sähkö!$E$75:$E$84</c:f>
              <c:numCache>
                <c:formatCode>_-* #,##0\ _k_r_-;\-* #,##0\ _k_r_-;_-* "-"??\ _k_r_-;_-@_-</c:formatCode>
                <c:ptCount val="10"/>
                <c:pt idx="0">
                  <c:v>292890.805830175</c:v>
                </c:pt>
                <c:pt idx="1">
                  <c:v>298890.805830175</c:v>
                </c:pt>
                <c:pt idx="2">
                  <c:v>306390.805830175</c:v>
                </c:pt>
                <c:pt idx="3">
                  <c:v>321390.805830175</c:v>
                </c:pt>
                <c:pt idx="4">
                  <c:v>336390.805830175</c:v>
                </c:pt>
                <c:pt idx="5">
                  <c:v>351390.805830175</c:v>
                </c:pt>
                <c:pt idx="6">
                  <c:v>366390.805830175</c:v>
                </c:pt>
                <c:pt idx="7">
                  <c:v>381390.805830175</c:v>
                </c:pt>
                <c:pt idx="8">
                  <c:v>396390.805830175</c:v>
                </c:pt>
                <c:pt idx="9">
                  <c:v>411390.805830175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Sähkö!$F$74</c:f>
              <c:strCache>
                <c:ptCount val="1"/>
                <c:pt idx="0">
                  <c:v>Hiili</c:v>
                </c:pt>
              </c:strCache>
            </c:strRef>
          </c:tx>
          <c:xVal>
            <c:numRef>
              <c:f>Sähkö!$D$75:$D$84</c:f>
              <c:numCache>
                <c:formatCode>General</c:formatCode>
                <c:ptCount val="10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</c:numCache>
            </c:numRef>
          </c:xVal>
          <c:yVal>
            <c:numRef>
              <c:f>Sähkö!$F$75:$F$84</c:f>
              <c:numCache>
                <c:formatCode>_-* #,##0\ _k_r_-;\-* #,##0\ _k_r_-;_-* "-"??\ _k_r_-;_-@_-</c:formatCode>
                <c:ptCount val="10"/>
                <c:pt idx="0">
                  <c:v>109561.15327129967</c:v>
                </c:pt>
                <c:pt idx="1">
                  <c:v>131476.58184272825</c:v>
                </c:pt>
                <c:pt idx="2">
                  <c:v>158870.86755701396</c:v>
                </c:pt>
                <c:pt idx="3">
                  <c:v>213659.43898558538</c:v>
                </c:pt>
                <c:pt idx="4">
                  <c:v>268448.01041415683</c:v>
                </c:pt>
                <c:pt idx="5">
                  <c:v>323236.58184272825</c:v>
                </c:pt>
                <c:pt idx="6">
                  <c:v>378025.15327129967</c:v>
                </c:pt>
                <c:pt idx="7">
                  <c:v>432813.72469987109</c:v>
                </c:pt>
                <c:pt idx="8">
                  <c:v>487602.29612844251</c:v>
                </c:pt>
                <c:pt idx="9">
                  <c:v>542390.86755701399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Sähkö!$G$74</c:f>
              <c:strCache>
                <c:ptCount val="1"/>
                <c:pt idx="0">
                  <c:v>Kaasu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xVal>
            <c:numRef>
              <c:f>Sähkö!$D$75:$D$84</c:f>
              <c:numCache>
                <c:formatCode>General</c:formatCode>
                <c:ptCount val="10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</c:numCache>
            </c:numRef>
          </c:xVal>
          <c:yVal>
            <c:numRef>
              <c:f>Sähkö!$G$75:$G$84</c:f>
              <c:numCache>
                <c:formatCode>_-* #,##0\ _k_r_-;\-* #,##0\ _k_r_-;_-* "-"??\ _k_r_-;_-@_-</c:formatCode>
                <c:ptCount val="10"/>
                <c:pt idx="0">
                  <c:v>60092.770705730705</c:v>
                </c:pt>
                <c:pt idx="1">
                  <c:v>92299.261271768439</c:v>
                </c:pt>
                <c:pt idx="2">
                  <c:v>132557.37447931559</c:v>
                </c:pt>
                <c:pt idx="3">
                  <c:v>213073.60089440993</c:v>
                </c:pt>
                <c:pt idx="4">
                  <c:v>293589.82730950427</c:v>
                </c:pt>
                <c:pt idx="5">
                  <c:v>374106.05372459861</c:v>
                </c:pt>
                <c:pt idx="6">
                  <c:v>454622.28013969294</c:v>
                </c:pt>
                <c:pt idx="7">
                  <c:v>535138.50655478728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Sähkö!$H$74</c:f>
              <c:strCache>
                <c:ptCount val="1"/>
                <c:pt idx="0">
                  <c:v>HakeCHP</c:v>
                </c:pt>
              </c:strCache>
            </c:strRef>
          </c:tx>
          <c:spPr>
            <a:ln>
              <a:solidFill>
                <a:srgbClr val="00B050"/>
              </a:solidFill>
              <a:prstDash val="sysDash"/>
            </a:ln>
          </c:spPr>
          <c:marker>
            <c:spPr>
              <a:solidFill>
                <a:srgbClr val="00B050"/>
              </a:solidFill>
            </c:spPr>
          </c:marker>
          <c:xVal>
            <c:numRef>
              <c:f>Sähkö!$D$75:$D$84</c:f>
              <c:numCache>
                <c:formatCode>General</c:formatCode>
                <c:ptCount val="10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</c:numCache>
            </c:numRef>
          </c:xVal>
          <c:yVal>
            <c:numRef>
              <c:f>Sähkö!$H$75:$H$84</c:f>
              <c:numCache>
                <c:formatCode>_-* #,##0\ _k_r_-;\-* #,##0\ _k_r_-;_-* "-"??\ _k_r_-;_-@_-</c:formatCode>
                <c:ptCount val="10"/>
                <c:pt idx="0">
                  <c:v>132553.85055271004</c:v>
                </c:pt>
                <c:pt idx="1">
                  <c:v>142357.7721213375</c:v>
                </c:pt>
                <c:pt idx="2">
                  <c:v>154612.67408212181</c:v>
                </c:pt>
                <c:pt idx="3">
                  <c:v>179122.47800369046</c:v>
                </c:pt>
                <c:pt idx="4">
                  <c:v>203632.2819252591</c:v>
                </c:pt>
                <c:pt idx="5">
                  <c:v>228142.08584682771</c:v>
                </c:pt>
                <c:pt idx="6">
                  <c:v>252651.88976839633</c:v>
                </c:pt>
                <c:pt idx="7">
                  <c:v>277161.693689965</c:v>
                </c:pt>
                <c:pt idx="8">
                  <c:v>301671.49761153362</c:v>
                </c:pt>
                <c:pt idx="9">
                  <c:v>326181.30153310223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Sähkö!$I$74</c:f>
              <c:strCache>
                <c:ptCount val="1"/>
                <c:pt idx="0">
                  <c:v>Öljy</c:v>
                </c:pt>
              </c:strCache>
            </c:strRef>
          </c:tx>
          <c:xVal>
            <c:numRef>
              <c:f>Sähkö!$D$75:$D$84</c:f>
              <c:numCache>
                <c:formatCode>General</c:formatCode>
                <c:ptCount val="10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  <c:pt idx="7">
                  <c:v>6000</c:v>
                </c:pt>
                <c:pt idx="8">
                  <c:v>7000</c:v>
                </c:pt>
                <c:pt idx="9">
                  <c:v>8000</c:v>
                </c:pt>
              </c:numCache>
            </c:numRef>
          </c:xVal>
          <c:yVal>
            <c:numRef>
              <c:f>Sähkö!$I$75:$I$84</c:f>
              <c:numCache>
                <c:formatCode>_-* #,##0\ _k_r_-;\-* #,##0\ _k_r_-;_-* "-"??\ _k_r_-;_-@_-</c:formatCode>
                <c:ptCount val="10"/>
                <c:pt idx="0">
                  <c:v>26745.494583032152</c:v>
                </c:pt>
                <c:pt idx="1">
                  <c:v>83767.970773508336</c:v>
                </c:pt>
                <c:pt idx="2">
                  <c:v>155046.06601160357</c:v>
                </c:pt>
                <c:pt idx="3">
                  <c:v>297602.25648779405</c:v>
                </c:pt>
                <c:pt idx="4">
                  <c:v>440158.44696398452</c:v>
                </c:pt>
                <c:pt idx="5">
                  <c:v>582714.63744017505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12512"/>
        <c:axId val="210522880"/>
      </c:scatterChart>
      <c:valAx>
        <c:axId val="210512512"/>
        <c:scaling>
          <c:orientation val="minMax"/>
          <c:max val="8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Huipunkäyttöaika (h/a)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0522880"/>
        <c:crosses val="autoZero"/>
        <c:crossBetween val="midCat"/>
        <c:majorUnit val="1000"/>
      </c:valAx>
      <c:valAx>
        <c:axId val="21052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€/MWa</a:t>
                </a:r>
              </a:p>
            </c:rich>
          </c:tx>
          <c:layout/>
          <c:overlay val="0"/>
        </c:title>
        <c:numFmt formatCode="_-* #,##0\ _k_r_-;\-* #,##0\ _k_r_-;_-* &quot;-&quot;??\ _k_r_-;_-@_-" sourceLinked="1"/>
        <c:majorTickMark val="none"/>
        <c:minorTickMark val="none"/>
        <c:tickLblPos val="nextTo"/>
        <c:crossAx val="210512512"/>
        <c:crosses val="autoZero"/>
        <c:crossBetween val="midCat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52</xdr:row>
      <xdr:rowOff>157162</xdr:rowOff>
    </xdr:from>
    <xdr:to>
      <xdr:col>8</xdr:col>
      <xdr:colOff>400050</xdr:colOff>
      <xdr:row>67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352425</xdr:colOff>
      <xdr:row>82</xdr:row>
      <xdr:rowOff>157162</xdr:rowOff>
    </xdr:from>
    <xdr:to>
      <xdr:col>18</xdr:col>
      <xdr:colOff>600075</xdr:colOff>
      <xdr:row>97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1152525</xdr:colOff>
      <xdr:row>86</xdr:row>
      <xdr:rowOff>147636</xdr:rowOff>
    </xdr:from>
    <xdr:to>
      <xdr:col>9</xdr:col>
      <xdr:colOff>209550</xdr:colOff>
      <xdr:row>102</xdr:row>
      <xdr:rowOff>114299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84"/>
  <sheetViews>
    <sheetView showGridLines="0" topLeftCell="A30" workbookViewId="0">
      <selection activeCell="C84" sqref="C84"/>
    </sheetView>
  </sheetViews>
  <sheetFormatPr defaultRowHeight="15" x14ac:dyDescent="0.25"/>
  <cols>
    <col min="2" max="2" width="1.140625" style="8" customWidth="1"/>
    <col min="3" max="3" width="19.140625" customWidth="1"/>
    <col min="4" max="4" width="7.85546875" customWidth="1"/>
    <col min="5" max="5" width="13.42578125" customWidth="1"/>
    <col min="6" max="9" width="11" customWidth="1"/>
    <col min="10" max="10" width="10.7109375" customWidth="1"/>
    <col min="11" max="11" width="11" customWidth="1"/>
    <col min="12" max="17" width="9.28515625" customWidth="1"/>
  </cols>
  <sheetData>
    <row r="1" spans="2:9" x14ac:dyDescent="0.25">
      <c r="B1" s="8" t="s">
        <v>0</v>
      </c>
      <c r="F1" s="8" t="s">
        <v>65</v>
      </c>
      <c r="I1" t="s">
        <v>68</v>
      </c>
    </row>
    <row r="3" spans="2:9" x14ac:dyDescent="0.25">
      <c r="B3" s="31"/>
      <c r="C3" s="34" t="s">
        <v>1</v>
      </c>
      <c r="D3" s="34"/>
      <c r="E3" s="49" t="s">
        <v>79</v>
      </c>
      <c r="F3" s="35" t="s">
        <v>145</v>
      </c>
      <c r="G3" s="35" t="s">
        <v>146</v>
      </c>
      <c r="H3" s="49" t="s">
        <v>91</v>
      </c>
      <c r="I3" s="36" t="s">
        <v>91</v>
      </c>
    </row>
    <row r="4" spans="2:9" x14ac:dyDescent="0.25">
      <c r="B4" s="32"/>
      <c r="C4" s="19" t="s">
        <v>12</v>
      </c>
      <c r="D4" s="19"/>
      <c r="E4" s="69" t="s">
        <v>80</v>
      </c>
      <c r="F4" s="37" t="s">
        <v>80</v>
      </c>
      <c r="G4" s="37" t="s">
        <v>108</v>
      </c>
      <c r="H4" s="50" t="s">
        <v>109</v>
      </c>
      <c r="I4" s="51" t="s">
        <v>110</v>
      </c>
    </row>
    <row r="5" spans="2:9" x14ac:dyDescent="0.25">
      <c r="B5" s="31" t="s">
        <v>11</v>
      </c>
      <c r="C5" s="9"/>
      <c r="D5" s="9"/>
      <c r="E5" s="70"/>
      <c r="F5" s="10"/>
      <c r="G5" s="10"/>
      <c r="H5" s="60"/>
      <c r="I5" s="24"/>
    </row>
    <row r="6" spans="2:9" x14ac:dyDescent="0.25">
      <c r="B6" s="33"/>
      <c r="C6" s="14" t="s">
        <v>3</v>
      </c>
      <c r="D6" s="14" t="s">
        <v>4</v>
      </c>
      <c r="E6" s="54">
        <v>1100</v>
      </c>
      <c r="F6" s="25">
        <v>500</v>
      </c>
      <c r="G6" s="25">
        <v>300</v>
      </c>
      <c r="H6" s="54">
        <v>30</v>
      </c>
      <c r="I6" s="26">
        <v>30</v>
      </c>
    </row>
    <row r="7" spans="2:9" x14ac:dyDescent="0.25">
      <c r="B7" s="33"/>
      <c r="C7" s="14" t="s">
        <v>6</v>
      </c>
      <c r="D7" s="14" t="s">
        <v>7</v>
      </c>
      <c r="E7" s="55">
        <v>0.35</v>
      </c>
      <c r="F7" s="27">
        <v>0.42</v>
      </c>
      <c r="G7" s="27">
        <v>0.53</v>
      </c>
      <c r="H7" s="55"/>
      <c r="I7" s="28"/>
    </row>
    <row r="8" spans="2:9" x14ac:dyDescent="0.25">
      <c r="B8" s="33"/>
      <c r="C8" s="14" t="s">
        <v>8</v>
      </c>
      <c r="D8" s="14" t="s">
        <v>4</v>
      </c>
      <c r="E8" s="56">
        <f>E6/E7</f>
        <v>3142.8571428571431</v>
      </c>
      <c r="F8" s="15">
        <f>F6/F7</f>
        <v>1190.4761904761906</v>
      </c>
      <c r="G8" s="15">
        <f>G6/G7</f>
        <v>566.03773584905662</v>
      </c>
      <c r="H8" s="56"/>
      <c r="I8" s="16"/>
    </row>
    <row r="9" spans="2:9" x14ac:dyDescent="0.25">
      <c r="B9" s="33"/>
      <c r="C9" s="14" t="s">
        <v>37</v>
      </c>
      <c r="D9" s="14" t="s">
        <v>38</v>
      </c>
      <c r="E9" s="56">
        <v>0</v>
      </c>
      <c r="F9" s="15">
        <f>94.6*3.6</f>
        <v>340.56</v>
      </c>
      <c r="G9" s="15">
        <f>55.05*3.6</f>
        <v>198.18</v>
      </c>
      <c r="H9" s="61">
        <v>0</v>
      </c>
      <c r="I9" s="30">
        <v>0</v>
      </c>
    </row>
    <row r="10" spans="2:9" x14ac:dyDescent="0.25">
      <c r="B10" s="31" t="s">
        <v>13</v>
      </c>
      <c r="C10" s="9"/>
      <c r="D10" s="9"/>
      <c r="E10" s="60"/>
      <c r="F10" s="9"/>
      <c r="G10" s="9"/>
      <c r="H10" s="60"/>
      <c r="I10" s="24"/>
    </row>
    <row r="11" spans="2:9" x14ac:dyDescent="0.25">
      <c r="B11" s="33"/>
      <c r="C11" s="14" t="s">
        <v>14</v>
      </c>
      <c r="D11" s="14" t="s">
        <v>15</v>
      </c>
      <c r="E11" s="56">
        <v>7500</v>
      </c>
      <c r="F11" s="15">
        <v>7500</v>
      </c>
      <c r="G11" s="15">
        <v>7500</v>
      </c>
      <c r="H11" s="56">
        <v>2500</v>
      </c>
      <c r="I11" s="16">
        <v>3000</v>
      </c>
    </row>
    <row r="12" spans="2:9" x14ac:dyDescent="0.25">
      <c r="B12" s="33"/>
      <c r="C12" s="14" t="s">
        <v>16</v>
      </c>
      <c r="D12" s="14" t="s">
        <v>18</v>
      </c>
      <c r="E12" s="56">
        <f>E6*E11/1000</f>
        <v>8250</v>
      </c>
      <c r="F12" s="15">
        <f t="shared" ref="F12:G12" si="0">F6*F11/1000</f>
        <v>3750</v>
      </c>
      <c r="G12" s="15">
        <f t="shared" si="0"/>
        <v>2250</v>
      </c>
      <c r="H12" s="56">
        <f>H6*H11/1000</f>
        <v>75</v>
      </c>
      <c r="I12" s="16">
        <f>I6*I11/1000</f>
        <v>90</v>
      </c>
    </row>
    <row r="13" spans="2:9" x14ac:dyDescent="0.25">
      <c r="B13" s="33"/>
      <c r="C13" s="14" t="s">
        <v>41</v>
      </c>
      <c r="D13" s="14" t="s">
        <v>18</v>
      </c>
      <c r="E13" s="56">
        <f>E11*E8/1000</f>
        <v>23571.428571428576</v>
      </c>
      <c r="F13" s="15">
        <f>F11*F8/1000</f>
        <v>8928.5714285714294</v>
      </c>
      <c r="G13" s="15">
        <f>G11*G8/1000</f>
        <v>4245.2830188679245</v>
      </c>
      <c r="H13" s="56"/>
      <c r="I13" s="16"/>
    </row>
    <row r="14" spans="2:9" x14ac:dyDescent="0.25">
      <c r="B14" s="32"/>
      <c r="C14" s="11" t="s">
        <v>42</v>
      </c>
      <c r="D14" s="11" t="s">
        <v>43</v>
      </c>
      <c r="E14" s="61">
        <f t="shared" ref="E14:G14" si="1">E13*E9/1000</f>
        <v>0</v>
      </c>
      <c r="F14" s="29">
        <f t="shared" si="1"/>
        <v>3040.7142857142858</v>
      </c>
      <c r="G14" s="29">
        <f t="shared" si="1"/>
        <v>841.33018867924534</v>
      </c>
      <c r="H14" s="61">
        <f>H13*H9/1000</f>
        <v>0</v>
      </c>
      <c r="I14" s="30">
        <f>I13*I9/1000</f>
        <v>0</v>
      </c>
    </row>
    <row r="15" spans="2:9" x14ac:dyDescent="0.25">
      <c r="B15" s="33" t="s">
        <v>19</v>
      </c>
      <c r="C15" s="14"/>
      <c r="D15" s="14"/>
      <c r="E15" s="56"/>
      <c r="F15" s="15"/>
      <c r="G15" s="15"/>
      <c r="H15" s="62"/>
      <c r="I15" s="13"/>
    </row>
    <row r="16" spans="2:9" x14ac:dyDescent="0.25">
      <c r="B16" s="33"/>
      <c r="C16" s="14" t="s">
        <v>20</v>
      </c>
      <c r="D16" s="14" t="s">
        <v>22</v>
      </c>
      <c r="E16" s="56">
        <v>60</v>
      </c>
      <c r="F16" s="15">
        <v>60</v>
      </c>
      <c r="G16" s="15">
        <v>60</v>
      </c>
      <c r="H16" s="56">
        <v>60</v>
      </c>
      <c r="I16" s="16">
        <v>60</v>
      </c>
    </row>
    <row r="17" spans="2:9" x14ac:dyDescent="0.25">
      <c r="B17" s="33"/>
      <c r="C17" s="14" t="s">
        <v>21</v>
      </c>
      <c r="D17" s="14" t="s">
        <v>22</v>
      </c>
      <c r="E17" s="56"/>
      <c r="F17" s="15"/>
      <c r="G17" s="15"/>
      <c r="H17" s="56"/>
      <c r="I17" s="16"/>
    </row>
    <row r="18" spans="2:9" x14ac:dyDescent="0.25">
      <c r="B18" s="33"/>
      <c r="C18" s="14" t="s">
        <v>1</v>
      </c>
      <c r="D18" s="14" t="s">
        <v>22</v>
      </c>
      <c r="E18" s="82">
        <f>7*0.35</f>
        <v>2.4499999999999997</v>
      </c>
      <c r="F18" s="15">
        <v>12</v>
      </c>
      <c r="G18" s="15">
        <v>35</v>
      </c>
      <c r="H18" s="56"/>
      <c r="I18" s="16"/>
    </row>
    <row r="19" spans="2:9" x14ac:dyDescent="0.25">
      <c r="B19" s="33"/>
      <c r="C19" s="14" t="s">
        <v>39</v>
      </c>
      <c r="D19" s="14" t="s">
        <v>40</v>
      </c>
      <c r="E19" s="56">
        <v>20</v>
      </c>
      <c r="F19" s="15">
        <f>E19</f>
        <v>20</v>
      </c>
      <c r="G19" s="15">
        <f t="shared" ref="G19" si="2">F19</f>
        <v>20</v>
      </c>
      <c r="H19" s="56"/>
      <c r="I19" s="16"/>
    </row>
    <row r="20" spans="2:9" x14ac:dyDescent="0.25">
      <c r="B20" s="33"/>
      <c r="C20" s="14" t="s">
        <v>35</v>
      </c>
      <c r="D20" s="14" t="s">
        <v>22</v>
      </c>
      <c r="E20" s="56">
        <v>0</v>
      </c>
      <c r="F20" s="15">
        <v>0</v>
      </c>
      <c r="G20" s="15">
        <v>0</v>
      </c>
      <c r="H20" s="56">
        <v>0</v>
      </c>
      <c r="I20" s="16">
        <v>0</v>
      </c>
    </row>
    <row r="21" spans="2:9" x14ac:dyDescent="0.25">
      <c r="B21" s="33"/>
      <c r="C21" s="14" t="s">
        <v>27</v>
      </c>
      <c r="D21" s="14" t="s">
        <v>22</v>
      </c>
      <c r="E21" s="56">
        <v>8</v>
      </c>
      <c r="F21" s="15">
        <v>10</v>
      </c>
      <c r="G21" s="15">
        <v>7</v>
      </c>
      <c r="H21" s="56">
        <v>11</v>
      </c>
      <c r="I21" s="16">
        <v>15</v>
      </c>
    </row>
    <row r="22" spans="2:9" x14ac:dyDescent="0.25">
      <c r="B22" s="33"/>
      <c r="C22" s="14" t="s">
        <v>30</v>
      </c>
      <c r="D22" s="14" t="s">
        <v>31</v>
      </c>
      <c r="E22" s="56">
        <v>5000</v>
      </c>
      <c r="F22" s="15">
        <v>1600</v>
      </c>
      <c r="G22" s="15">
        <v>800</v>
      </c>
      <c r="H22" s="61">
        <v>1500</v>
      </c>
      <c r="I22" s="30">
        <v>2000</v>
      </c>
    </row>
    <row r="23" spans="2:9" x14ac:dyDescent="0.25">
      <c r="B23" s="31" t="s">
        <v>23</v>
      </c>
      <c r="C23" s="9"/>
      <c r="D23" s="9"/>
      <c r="E23" s="62"/>
      <c r="F23" s="12"/>
      <c r="G23" s="12"/>
      <c r="H23" s="56"/>
      <c r="I23" s="16"/>
    </row>
    <row r="24" spans="2:9" x14ac:dyDescent="0.25">
      <c r="B24" s="33"/>
      <c r="C24" s="14" t="s">
        <v>20</v>
      </c>
      <c r="D24" s="14" t="s">
        <v>25</v>
      </c>
      <c r="E24" s="56">
        <f t="shared" ref="E24:G24" si="3">E12*E16</f>
        <v>495000</v>
      </c>
      <c r="F24" s="15">
        <f t="shared" si="3"/>
        <v>225000</v>
      </c>
      <c r="G24" s="15">
        <f t="shared" si="3"/>
        <v>135000</v>
      </c>
      <c r="H24" s="56">
        <f>H12*H16</f>
        <v>4500</v>
      </c>
      <c r="I24" s="16">
        <f>I12*I16</f>
        <v>5400</v>
      </c>
    </row>
    <row r="25" spans="2:9" x14ac:dyDescent="0.25">
      <c r="B25" s="31" t="s">
        <v>64</v>
      </c>
      <c r="C25" s="9"/>
      <c r="D25" s="9"/>
      <c r="E25" s="62"/>
      <c r="F25" s="12"/>
      <c r="G25" s="12"/>
      <c r="H25" s="62"/>
      <c r="I25" s="13"/>
    </row>
    <row r="26" spans="2:9" x14ac:dyDescent="0.25">
      <c r="B26" s="33"/>
      <c r="C26" s="14" t="s">
        <v>1</v>
      </c>
      <c r="D26" s="14" t="s">
        <v>25</v>
      </c>
      <c r="E26" s="56">
        <f t="shared" ref="E26:G27" si="4">E13*E18</f>
        <v>57750.000000000007</v>
      </c>
      <c r="F26" s="15">
        <f t="shared" si="4"/>
        <v>107142.85714285716</v>
      </c>
      <c r="G26" s="15">
        <f t="shared" si="4"/>
        <v>148584.90566037735</v>
      </c>
      <c r="H26" s="56"/>
      <c r="I26" s="16"/>
    </row>
    <row r="27" spans="2:9" x14ac:dyDescent="0.25">
      <c r="B27" s="33"/>
      <c r="C27" s="14" t="s">
        <v>44</v>
      </c>
      <c r="D27" s="14" t="s">
        <v>25</v>
      </c>
      <c r="E27" s="56">
        <f t="shared" si="4"/>
        <v>0</v>
      </c>
      <c r="F27" s="15">
        <f t="shared" si="4"/>
        <v>60814.285714285717</v>
      </c>
      <c r="G27" s="15">
        <f t="shared" si="4"/>
        <v>16826.603773584906</v>
      </c>
      <c r="H27" s="56">
        <f>H14*H19</f>
        <v>0</v>
      </c>
      <c r="I27" s="16">
        <f>I14*I19</f>
        <v>0</v>
      </c>
    </row>
    <row r="28" spans="2:9" x14ac:dyDescent="0.25">
      <c r="B28" s="33"/>
      <c r="C28" s="14" t="s">
        <v>35</v>
      </c>
      <c r="D28" s="14" t="s">
        <v>25</v>
      </c>
      <c r="E28" s="56">
        <f>E20*E13</f>
        <v>0</v>
      </c>
      <c r="F28" s="15">
        <f>F20*F13</f>
        <v>0</v>
      </c>
      <c r="G28" s="15">
        <f>G20*G13</f>
        <v>0</v>
      </c>
      <c r="H28" s="56"/>
      <c r="I28" s="16"/>
    </row>
    <row r="29" spans="2:9" x14ac:dyDescent="0.25">
      <c r="B29" s="33"/>
      <c r="C29" s="14" t="s">
        <v>28</v>
      </c>
      <c r="D29" s="14" t="s">
        <v>25</v>
      </c>
      <c r="E29" s="56">
        <f t="shared" ref="E29:G29" si="5">E21*E12</f>
        <v>66000</v>
      </c>
      <c r="F29" s="15">
        <f t="shared" si="5"/>
        <v>37500</v>
      </c>
      <c r="G29" s="15">
        <f t="shared" si="5"/>
        <v>15750</v>
      </c>
      <c r="H29" s="56">
        <f>H21*H12</f>
        <v>825</v>
      </c>
      <c r="I29" s="16">
        <f>I21*I12</f>
        <v>1350</v>
      </c>
    </row>
    <row r="30" spans="2:9" x14ac:dyDescent="0.25">
      <c r="B30" s="33"/>
      <c r="C30" s="14" t="s">
        <v>9</v>
      </c>
      <c r="D30" s="9" t="s">
        <v>25</v>
      </c>
      <c r="E30" s="63">
        <f t="shared" ref="E30:G30" si="6">SUM(E26:E29)</f>
        <v>123750</v>
      </c>
      <c r="F30" s="20">
        <f t="shared" si="6"/>
        <v>205457.14285714287</v>
      </c>
      <c r="G30" s="20">
        <f t="shared" si="6"/>
        <v>181161.50943396226</v>
      </c>
      <c r="H30" s="63">
        <f>SUM(H26:H29)</f>
        <v>825</v>
      </c>
      <c r="I30" s="21">
        <f>SUM(I26:I29)</f>
        <v>1350</v>
      </c>
    </row>
    <row r="31" spans="2:9" x14ac:dyDescent="0.25">
      <c r="B31" s="32"/>
      <c r="C31" s="11"/>
      <c r="D31" s="19" t="s">
        <v>22</v>
      </c>
      <c r="E31" s="65">
        <f>E30/E12</f>
        <v>15</v>
      </c>
      <c r="F31" s="44">
        <f>F30/F12</f>
        <v>54.78857142857143</v>
      </c>
      <c r="G31" s="44">
        <f>G30/G12</f>
        <v>80.516226415094337</v>
      </c>
      <c r="H31" s="65">
        <f>H30/H12</f>
        <v>11</v>
      </c>
      <c r="I31" s="45">
        <v>15</v>
      </c>
    </row>
    <row r="32" spans="2:9" x14ac:dyDescent="0.25">
      <c r="B32" s="31" t="s">
        <v>29</v>
      </c>
      <c r="C32" s="9"/>
      <c r="D32" s="9" t="s">
        <v>25</v>
      </c>
      <c r="E32" s="63">
        <f>E24-E30</f>
        <v>371250</v>
      </c>
      <c r="F32" s="20">
        <f t="shared" ref="F32:G32" si="7">F24-F30</f>
        <v>19542.85714285713</v>
      </c>
      <c r="G32" s="20">
        <f t="shared" si="7"/>
        <v>-46161.509433962259</v>
      </c>
      <c r="H32" s="57">
        <f>H24-H30</f>
        <v>3675</v>
      </c>
      <c r="I32" s="18">
        <f>I24-I30</f>
        <v>4050</v>
      </c>
    </row>
    <row r="33" spans="2:9" x14ac:dyDescent="0.25">
      <c r="B33" s="31" t="s">
        <v>30</v>
      </c>
      <c r="C33" s="9"/>
      <c r="D33" s="9" t="s">
        <v>25</v>
      </c>
      <c r="E33" s="63">
        <f>E6*E22</f>
        <v>5500000</v>
      </c>
      <c r="F33" s="20">
        <f t="shared" ref="F33:G33" si="8">F6*F22</f>
        <v>800000</v>
      </c>
      <c r="G33" s="20">
        <f t="shared" si="8"/>
        <v>240000</v>
      </c>
      <c r="H33" s="63">
        <f>H6*H22</f>
        <v>45000</v>
      </c>
      <c r="I33" s="21">
        <f>I6*I22</f>
        <v>60000</v>
      </c>
    </row>
    <row r="34" spans="2:9" x14ac:dyDescent="0.25">
      <c r="B34" s="33"/>
      <c r="C34" s="14" t="s">
        <v>136</v>
      </c>
      <c r="D34" s="72" t="s">
        <v>33</v>
      </c>
      <c r="E34" s="57">
        <v>40</v>
      </c>
      <c r="F34" s="17">
        <v>30</v>
      </c>
      <c r="G34" s="17">
        <v>30</v>
      </c>
      <c r="H34" s="57">
        <v>25</v>
      </c>
      <c r="I34" s="18">
        <v>25</v>
      </c>
    </row>
    <row r="35" spans="2:9" x14ac:dyDescent="0.25">
      <c r="B35" s="33"/>
      <c r="C35" s="41" t="s">
        <v>45</v>
      </c>
      <c r="D35" s="14" t="s">
        <v>25</v>
      </c>
      <c r="E35" s="56">
        <f>-PMT(5%,E34,E33)</f>
        <v>320529.88641319249</v>
      </c>
      <c r="F35" s="15">
        <f t="shared" ref="F35:I35" si="9">-PMT(5%,F34,F33)</f>
        <v>52041.148064221263</v>
      </c>
      <c r="G35" s="15">
        <f t="shared" si="9"/>
        <v>15612.344419266381</v>
      </c>
      <c r="H35" s="56">
        <f t="shared" si="9"/>
        <v>3192.8605784653328</v>
      </c>
      <c r="I35" s="16">
        <f t="shared" si="9"/>
        <v>4257.1474379537776</v>
      </c>
    </row>
    <row r="36" spans="2:9" x14ac:dyDescent="0.25">
      <c r="B36" s="32"/>
      <c r="C36" s="11" t="s">
        <v>137</v>
      </c>
      <c r="D36" s="11" t="s">
        <v>22</v>
      </c>
      <c r="E36" s="65">
        <f t="shared" ref="E36:G36" si="10">E35/E12</f>
        <v>38.852107444023332</v>
      </c>
      <c r="F36" s="44">
        <f t="shared" si="10"/>
        <v>13.877639483792336</v>
      </c>
      <c r="G36" s="44">
        <f t="shared" si="10"/>
        <v>6.938819741896169</v>
      </c>
      <c r="H36" s="65">
        <f>H35/H12</f>
        <v>42.571474379537769</v>
      </c>
      <c r="I36" s="45">
        <f>I35/I12</f>
        <v>47.301638199486419</v>
      </c>
    </row>
    <row r="37" spans="2:9" x14ac:dyDescent="0.25">
      <c r="B37" s="31" t="s">
        <v>48</v>
      </c>
      <c r="C37" s="9"/>
      <c r="D37" s="9" t="s">
        <v>25</v>
      </c>
      <c r="E37" s="57">
        <f t="shared" ref="E37:G37" si="11">E30+E35</f>
        <v>444279.88641319249</v>
      </c>
      <c r="F37" s="17">
        <f t="shared" si="11"/>
        <v>257498.29092136413</v>
      </c>
      <c r="G37" s="17">
        <f t="shared" si="11"/>
        <v>196773.85385322865</v>
      </c>
      <c r="H37" s="57">
        <f>H30+H35</f>
        <v>4017.8605784653328</v>
      </c>
      <c r="I37" s="18">
        <f>I30+I35</f>
        <v>5607.1474379537776</v>
      </c>
    </row>
    <row r="38" spans="2:9" x14ac:dyDescent="0.25">
      <c r="B38" s="32"/>
      <c r="C38" s="19" t="s">
        <v>144</v>
      </c>
      <c r="D38" s="19" t="s">
        <v>22</v>
      </c>
      <c r="E38" s="65">
        <f t="shared" ref="E38:G38" si="12">E37/E12</f>
        <v>53.852107444023332</v>
      </c>
      <c r="F38" s="44">
        <f t="shared" si="12"/>
        <v>68.666210912363766</v>
      </c>
      <c r="G38" s="44">
        <f t="shared" si="12"/>
        <v>87.455046156990505</v>
      </c>
      <c r="H38" s="65">
        <f>H37/H12</f>
        <v>53.571474379537769</v>
      </c>
      <c r="I38" s="45">
        <f>I37/I12</f>
        <v>62.301638199486419</v>
      </c>
    </row>
    <row r="39" spans="2:9" x14ac:dyDescent="0.25">
      <c r="B39" s="32" t="s">
        <v>32</v>
      </c>
      <c r="C39" s="11"/>
      <c r="D39" s="19" t="s">
        <v>33</v>
      </c>
      <c r="E39" s="71">
        <f t="shared" ref="E39:G39" si="13">E33/E32</f>
        <v>14.814814814814815</v>
      </c>
      <c r="F39" s="42">
        <f t="shared" si="13"/>
        <v>40.93567251461991</v>
      </c>
      <c r="G39" s="42">
        <f t="shared" si="13"/>
        <v>-5.1991367471061416</v>
      </c>
      <c r="H39" s="66">
        <f>H33/H32</f>
        <v>12.244897959183673</v>
      </c>
      <c r="I39" s="67">
        <f>I33/I32</f>
        <v>14.814814814814815</v>
      </c>
    </row>
    <row r="43" spans="2:9" x14ac:dyDescent="0.25">
      <c r="E43" t="s">
        <v>36</v>
      </c>
      <c r="F43" t="s">
        <v>82</v>
      </c>
      <c r="G43" t="s">
        <v>83</v>
      </c>
    </row>
    <row r="44" spans="2:9" x14ac:dyDescent="0.25">
      <c r="D44">
        <v>500</v>
      </c>
      <c r="E44" s="4">
        <f t="shared" ref="E44:G52" si="14">E$35/E$6/$D44*1000+E$31</f>
        <v>597.78161166034999</v>
      </c>
      <c r="F44" s="4">
        <f t="shared" si="14"/>
        <v>262.9531636854565</v>
      </c>
      <c r="G44" s="4">
        <f t="shared" si="14"/>
        <v>184.59852254353689</v>
      </c>
      <c r="H44" s="4"/>
    </row>
    <row r="45" spans="2:9" x14ac:dyDescent="0.25">
      <c r="D45">
        <v>1000</v>
      </c>
      <c r="E45" s="4">
        <f t="shared" si="14"/>
        <v>306.390805830175</v>
      </c>
      <c r="F45" s="4">
        <f t="shared" si="14"/>
        <v>158.87086755701395</v>
      </c>
      <c r="G45" s="4">
        <f t="shared" si="14"/>
        <v>132.5573744793156</v>
      </c>
      <c r="H45" s="4"/>
    </row>
    <row r="46" spans="2:9" x14ac:dyDescent="0.25">
      <c r="D46">
        <f>D45+1000</f>
        <v>2000</v>
      </c>
      <c r="E46" s="4">
        <f t="shared" si="14"/>
        <v>160.6954029150875</v>
      </c>
      <c r="F46" s="4">
        <f t="shared" si="14"/>
        <v>106.82971949279269</v>
      </c>
      <c r="G46" s="4">
        <f t="shared" si="14"/>
        <v>106.53680044720497</v>
      </c>
      <c r="H46" s="4"/>
    </row>
    <row r="47" spans="2:9" x14ac:dyDescent="0.25">
      <c r="D47">
        <f t="shared" ref="D47:D52" si="15">D46+1000</f>
        <v>3000</v>
      </c>
      <c r="E47" s="4">
        <f t="shared" si="14"/>
        <v>112.13026861005832</v>
      </c>
      <c r="F47" s="4">
        <f t="shared" si="14"/>
        <v>89.482670138052271</v>
      </c>
      <c r="G47" s="4">
        <f t="shared" si="14"/>
        <v>97.863275769834758</v>
      </c>
      <c r="H47" s="4"/>
    </row>
    <row r="48" spans="2:9" x14ac:dyDescent="0.25">
      <c r="D48">
        <f t="shared" si="15"/>
        <v>4000</v>
      </c>
      <c r="E48" s="4">
        <f t="shared" si="14"/>
        <v>87.847701457543749</v>
      </c>
      <c r="F48" s="4">
        <f t="shared" si="14"/>
        <v>80.809145460682061</v>
      </c>
      <c r="G48" s="4">
        <f t="shared" si="14"/>
        <v>93.526513431149652</v>
      </c>
      <c r="H48" s="4"/>
    </row>
    <row r="49" spans="4:8" x14ac:dyDescent="0.25">
      <c r="D49">
        <f t="shared" si="15"/>
        <v>5000</v>
      </c>
      <c r="E49" s="4">
        <f t="shared" si="14"/>
        <v>73.278161166035005</v>
      </c>
      <c r="F49" s="4">
        <f t="shared" si="14"/>
        <v>75.605030654259934</v>
      </c>
      <c r="G49" s="4">
        <f t="shared" si="14"/>
        <v>90.924456027938589</v>
      </c>
      <c r="H49" s="4"/>
    </row>
    <row r="50" spans="4:8" x14ac:dyDescent="0.25">
      <c r="D50">
        <f t="shared" si="15"/>
        <v>6000</v>
      </c>
      <c r="E50" s="4">
        <f t="shared" si="14"/>
        <v>63.565134305029162</v>
      </c>
      <c r="F50" s="4">
        <f t="shared" si="14"/>
        <v>72.13562078331185</v>
      </c>
      <c r="G50" s="4">
        <f t="shared" si="14"/>
        <v>89.189751092464547</v>
      </c>
      <c r="H50" s="4"/>
    </row>
    <row r="51" spans="4:8" x14ac:dyDescent="0.25">
      <c r="D51">
        <f t="shared" si="15"/>
        <v>7000</v>
      </c>
      <c r="E51" s="4">
        <f t="shared" si="14"/>
        <v>56.62725797573929</v>
      </c>
      <c r="F51" s="4">
        <f t="shared" si="14"/>
        <v>69.657470875491782</v>
      </c>
      <c r="G51" s="4">
        <f t="shared" si="14"/>
        <v>87.950676138554513</v>
      </c>
      <c r="H51" s="4"/>
    </row>
    <row r="52" spans="4:8" x14ac:dyDescent="0.25">
      <c r="D52">
        <f t="shared" si="15"/>
        <v>8000</v>
      </c>
      <c r="E52" s="4">
        <f t="shared" si="14"/>
        <v>51.423850728771875</v>
      </c>
      <c r="F52" s="4">
        <f t="shared" si="14"/>
        <v>67.798858444626745</v>
      </c>
      <c r="G52" s="4">
        <f t="shared" si="14"/>
        <v>87.021369923121995</v>
      </c>
      <c r="H52" s="4"/>
    </row>
    <row r="69" spans="4:18" x14ac:dyDescent="0.25">
      <c r="K69" s="31"/>
      <c r="L69" s="35" t="s">
        <v>94</v>
      </c>
      <c r="M69" s="35" t="s">
        <v>96</v>
      </c>
      <c r="N69" s="35" t="s">
        <v>79</v>
      </c>
      <c r="O69" s="35" t="s">
        <v>97</v>
      </c>
      <c r="P69" s="126" t="s">
        <v>104</v>
      </c>
      <c r="Q69" s="35" t="s">
        <v>99</v>
      </c>
      <c r="R69" s="36" t="s">
        <v>100</v>
      </c>
    </row>
    <row r="70" spans="4:18" x14ac:dyDescent="0.25">
      <c r="K70" s="33"/>
      <c r="L70" s="74" t="s">
        <v>95</v>
      </c>
      <c r="M70" s="74" t="s">
        <v>95</v>
      </c>
      <c r="N70" s="74" t="s">
        <v>95</v>
      </c>
      <c r="O70" s="74" t="s">
        <v>98</v>
      </c>
      <c r="P70" s="126" t="s">
        <v>98</v>
      </c>
      <c r="Q70" s="74" t="s">
        <v>95</v>
      </c>
      <c r="R70" s="51" t="s">
        <v>95</v>
      </c>
    </row>
    <row r="71" spans="4:18" x14ac:dyDescent="0.25">
      <c r="D71" t="s">
        <v>92</v>
      </c>
      <c r="E71" s="4">
        <f>E35/E6*1000</f>
        <v>291390.805830175</v>
      </c>
      <c r="F71" s="4">
        <f t="shared" ref="F71:G71" si="16">F35/F6*1000</f>
        <v>104082.29612844253</v>
      </c>
      <c r="G71" s="4">
        <f t="shared" si="16"/>
        <v>52041.14806422127</v>
      </c>
      <c r="H71" s="3">
        <f>CHP!E41/CHP!E6*1000</f>
        <v>130102.87016055318</v>
      </c>
      <c r="I71" s="3">
        <f>G141/G118*1000</f>
        <v>12489.875535413104</v>
      </c>
      <c r="K71" s="32"/>
      <c r="L71" s="37" t="s">
        <v>22</v>
      </c>
      <c r="M71" s="37" t="s">
        <v>22</v>
      </c>
      <c r="N71" s="37" t="s">
        <v>22</v>
      </c>
      <c r="O71" s="37" t="s">
        <v>22</v>
      </c>
      <c r="P71" s="37" t="s">
        <v>22</v>
      </c>
      <c r="Q71" s="37" t="s">
        <v>22</v>
      </c>
      <c r="R71" s="38" t="s">
        <v>22</v>
      </c>
    </row>
    <row r="72" spans="4:18" x14ac:dyDescent="0.25">
      <c r="D72" t="s">
        <v>22</v>
      </c>
      <c r="E72" s="125">
        <f>E31</f>
        <v>15</v>
      </c>
      <c r="F72" s="125">
        <f t="shared" ref="F72:G72" si="17">F31</f>
        <v>54.78857142857143</v>
      </c>
      <c r="G72" s="125">
        <f t="shared" si="17"/>
        <v>80.516226415094337</v>
      </c>
      <c r="H72" s="3">
        <f>CHP!E37</f>
        <v>24.509803921568633</v>
      </c>
      <c r="I72" s="3">
        <f>G138</f>
        <v>142.55619047619047</v>
      </c>
      <c r="K72" s="52" t="s">
        <v>1</v>
      </c>
      <c r="L72" s="15">
        <v>0</v>
      </c>
      <c r="M72" s="15">
        <v>0</v>
      </c>
      <c r="N72" s="15">
        <f>E18/E7</f>
        <v>7</v>
      </c>
      <c r="O72" s="15">
        <f>CHP!E22/CHP!E9</f>
        <v>21.176470588235293</v>
      </c>
      <c r="P72" s="4">
        <f>G18/0.9</f>
        <v>38.888888888888886</v>
      </c>
      <c r="Q72" s="15">
        <f>F18/F7</f>
        <v>28.571428571428573</v>
      </c>
      <c r="R72" s="16" t="e">
        <f>#REF!/#REF!</f>
        <v>#REF!</v>
      </c>
    </row>
    <row r="73" spans="4:18" x14ac:dyDescent="0.25">
      <c r="K73" s="52" t="s">
        <v>93</v>
      </c>
      <c r="L73" s="15">
        <v>0</v>
      </c>
      <c r="M73" s="15">
        <v>0</v>
      </c>
      <c r="N73" s="15">
        <v>0</v>
      </c>
      <c r="O73" s="15">
        <v>0</v>
      </c>
      <c r="P73" s="3">
        <f>0.22*20</f>
        <v>4.4000000000000004</v>
      </c>
      <c r="Q73" s="15">
        <f>F27/F12</f>
        <v>16.217142857142857</v>
      </c>
      <c r="R73" s="16" t="e">
        <f>#REF!/#REF!</f>
        <v>#REF!</v>
      </c>
    </row>
    <row r="74" spans="4:18" x14ac:dyDescent="0.25">
      <c r="E74" t="s">
        <v>36</v>
      </c>
      <c r="F74" t="s">
        <v>82</v>
      </c>
      <c r="G74" t="s">
        <v>83</v>
      </c>
      <c r="H74" t="s">
        <v>143</v>
      </c>
      <c r="I74" t="s">
        <v>127</v>
      </c>
      <c r="K74" s="52" t="s">
        <v>28</v>
      </c>
      <c r="L74" s="15">
        <v>10</v>
      </c>
      <c r="M74" s="15">
        <v>11</v>
      </c>
      <c r="N74" s="15">
        <v>10</v>
      </c>
      <c r="O74" s="15">
        <v>10</v>
      </c>
      <c r="P74" s="127">
        <v>7</v>
      </c>
      <c r="Q74" s="15">
        <v>10</v>
      </c>
      <c r="R74" s="16">
        <v>10</v>
      </c>
    </row>
    <row r="75" spans="4:18" x14ac:dyDescent="0.25">
      <c r="D75">
        <v>100</v>
      </c>
      <c r="E75" s="4">
        <f t="shared" ref="E75:G82" si="18">E$35/E$6*1000+E$31*$D75</f>
        <v>292890.805830175</v>
      </c>
      <c r="F75" s="4">
        <f t="shared" si="18"/>
        <v>109561.15327129967</v>
      </c>
      <c r="G75" s="4">
        <f t="shared" si="18"/>
        <v>60092.770705730705</v>
      </c>
      <c r="H75" s="4">
        <f t="shared" ref="H75:I80" si="19">H$71+H$72*$D75</f>
        <v>132553.85055271004</v>
      </c>
      <c r="I75" s="4">
        <f t="shared" si="19"/>
        <v>26745.494583032152</v>
      </c>
      <c r="K75" s="79" t="s">
        <v>9</v>
      </c>
      <c r="L75" s="88">
        <f>SUM(L72:L74)</f>
        <v>10</v>
      </c>
      <c r="M75" s="88">
        <f t="shared" ref="M75:P75" si="20">SUM(M72:M74)</f>
        <v>11</v>
      </c>
      <c r="N75" s="88">
        <f t="shared" si="20"/>
        <v>17</v>
      </c>
      <c r="O75" s="88">
        <f t="shared" si="20"/>
        <v>31.176470588235293</v>
      </c>
      <c r="P75" s="88">
        <f t="shared" si="20"/>
        <v>50.288888888888884</v>
      </c>
      <c r="Q75" s="88">
        <f>SUM(Q72:Q74)</f>
        <v>54.78857142857143</v>
      </c>
      <c r="R75" s="89" t="e">
        <f>SUM(R72:R74)</f>
        <v>#REF!</v>
      </c>
    </row>
    <row r="76" spans="4:18" x14ac:dyDescent="0.25">
      <c r="D76">
        <v>500</v>
      </c>
      <c r="E76" s="4">
        <f t="shared" si="18"/>
        <v>298890.805830175</v>
      </c>
      <c r="F76" s="4">
        <f t="shared" si="18"/>
        <v>131476.58184272825</v>
      </c>
      <c r="G76" s="4">
        <f t="shared" si="18"/>
        <v>92299.261271768439</v>
      </c>
      <c r="H76" s="4">
        <f t="shared" si="19"/>
        <v>142357.7721213375</v>
      </c>
      <c r="I76" s="4">
        <f t="shared" si="19"/>
        <v>83767.970773508336</v>
      </c>
    </row>
    <row r="77" spans="4:18" x14ac:dyDescent="0.25">
      <c r="D77">
        <v>1000</v>
      </c>
      <c r="E77" s="4">
        <f t="shared" si="18"/>
        <v>306390.805830175</v>
      </c>
      <c r="F77" s="4">
        <f t="shared" si="18"/>
        <v>158870.86755701396</v>
      </c>
      <c r="G77" s="4">
        <f t="shared" si="18"/>
        <v>132557.37447931559</v>
      </c>
      <c r="H77" s="4">
        <f t="shared" si="19"/>
        <v>154612.67408212181</v>
      </c>
      <c r="I77" s="4">
        <f t="shared" si="19"/>
        <v>155046.06601160357</v>
      </c>
    </row>
    <row r="78" spans="4:18" x14ac:dyDescent="0.25">
      <c r="D78">
        <f>D77+1000</f>
        <v>2000</v>
      </c>
      <c r="E78" s="4">
        <f t="shared" si="18"/>
        <v>321390.805830175</v>
      </c>
      <c r="F78" s="4">
        <f t="shared" si="18"/>
        <v>213659.43898558538</v>
      </c>
      <c r="G78" s="4">
        <f t="shared" si="18"/>
        <v>213073.60089440993</v>
      </c>
      <c r="H78" s="4">
        <f t="shared" si="19"/>
        <v>179122.47800369046</v>
      </c>
      <c r="I78" s="4">
        <f t="shared" si="19"/>
        <v>297602.25648779405</v>
      </c>
      <c r="L78">
        <v>27000</v>
      </c>
      <c r="M78">
        <v>5000</v>
      </c>
      <c r="N78">
        <v>12000</v>
      </c>
      <c r="O78">
        <v>10000</v>
      </c>
      <c r="P78">
        <v>10000</v>
      </c>
      <c r="Q78">
        <v>6000</v>
      </c>
      <c r="R78">
        <v>4000</v>
      </c>
    </row>
    <row r="79" spans="4:18" x14ac:dyDescent="0.25">
      <c r="D79">
        <f t="shared" ref="D79:D84" si="21">D78+1000</f>
        <v>3000</v>
      </c>
      <c r="E79" s="4">
        <f t="shared" si="18"/>
        <v>336390.805830175</v>
      </c>
      <c r="F79" s="4">
        <f t="shared" si="18"/>
        <v>268448.01041415683</v>
      </c>
      <c r="G79" s="4">
        <f t="shared" si="18"/>
        <v>293589.82730950427</v>
      </c>
      <c r="H79" s="4">
        <f t="shared" si="19"/>
        <v>203632.2819252591</v>
      </c>
      <c r="I79" s="4">
        <f t="shared" si="19"/>
        <v>440158.44696398452</v>
      </c>
      <c r="K79" t="s">
        <v>102</v>
      </c>
      <c r="L79" s="5" t="s">
        <v>102</v>
      </c>
      <c r="M79" s="5" t="s">
        <v>101</v>
      </c>
      <c r="N79" s="5" t="s">
        <v>36</v>
      </c>
      <c r="O79" s="5" t="s">
        <v>105</v>
      </c>
      <c r="P79" s="5" t="s">
        <v>106</v>
      </c>
      <c r="Q79" s="5" t="s">
        <v>82</v>
      </c>
      <c r="R79" s="5" t="s">
        <v>103</v>
      </c>
    </row>
    <row r="80" spans="4:18" x14ac:dyDescent="0.25">
      <c r="D80">
        <f t="shared" si="21"/>
        <v>4000</v>
      </c>
      <c r="E80" s="4">
        <f t="shared" si="18"/>
        <v>351390.805830175</v>
      </c>
      <c r="F80" s="4">
        <f t="shared" si="18"/>
        <v>323236.58184272825</v>
      </c>
      <c r="G80" s="4">
        <f t="shared" si="18"/>
        <v>374106.05372459861</v>
      </c>
      <c r="H80" s="4">
        <f t="shared" si="19"/>
        <v>228142.08584682771</v>
      </c>
      <c r="I80" s="4">
        <f t="shared" si="19"/>
        <v>582714.63744017505</v>
      </c>
      <c r="K80">
        <v>0</v>
      </c>
      <c r="L80">
        <f>L78</f>
        <v>27000</v>
      </c>
      <c r="M80">
        <f>L80+M78</f>
        <v>32000</v>
      </c>
      <c r="N80">
        <f t="shared" ref="N80:R80" si="22">M80+N78</f>
        <v>44000</v>
      </c>
      <c r="O80">
        <f t="shared" si="22"/>
        <v>54000</v>
      </c>
      <c r="P80">
        <f t="shared" si="22"/>
        <v>64000</v>
      </c>
      <c r="Q80">
        <f t="shared" si="22"/>
        <v>70000</v>
      </c>
      <c r="R80">
        <f t="shared" si="22"/>
        <v>74000</v>
      </c>
    </row>
    <row r="81" spans="4:18" x14ac:dyDescent="0.25">
      <c r="D81">
        <f t="shared" si="21"/>
        <v>5000</v>
      </c>
      <c r="E81" s="4">
        <f t="shared" si="18"/>
        <v>366390.805830175</v>
      </c>
      <c r="F81" s="4">
        <f t="shared" si="18"/>
        <v>378025.15327129967</v>
      </c>
      <c r="G81" s="4">
        <f t="shared" si="18"/>
        <v>454622.28013969294</v>
      </c>
      <c r="H81" s="4">
        <f>H$71+H$72*$D81</f>
        <v>252651.88976839633</v>
      </c>
      <c r="I81" s="4"/>
      <c r="K81">
        <v>5</v>
      </c>
      <c r="L81" s="4">
        <f>L75</f>
        <v>10</v>
      </c>
      <c r="M81" s="4">
        <f t="shared" ref="M81:O81" si="23">M75</f>
        <v>11</v>
      </c>
      <c r="N81" s="4">
        <f t="shared" si="23"/>
        <v>17</v>
      </c>
      <c r="O81" s="4">
        <f t="shared" si="23"/>
        <v>31.176470588235293</v>
      </c>
      <c r="P81" s="4">
        <f>P75</f>
        <v>50.288888888888884</v>
      </c>
      <c r="Q81" s="4">
        <f>Q75</f>
        <v>54.78857142857143</v>
      </c>
      <c r="R81" s="4" t="e">
        <f>R75</f>
        <v>#REF!</v>
      </c>
    </row>
    <row r="82" spans="4:18" x14ac:dyDescent="0.25">
      <c r="D82">
        <f t="shared" si="21"/>
        <v>6000</v>
      </c>
      <c r="E82" s="4">
        <f t="shared" si="18"/>
        <v>381390.805830175</v>
      </c>
      <c r="F82" s="4">
        <f t="shared" si="18"/>
        <v>432813.72469987109</v>
      </c>
      <c r="G82" s="4">
        <f t="shared" si="18"/>
        <v>535138.50655478728</v>
      </c>
      <c r="H82" s="4">
        <f>H$71+H$72*$D82</f>
        <v>277161.693689965</v>
      </c>
      <c r="I82" s="4"/>
    </row>
    <row r="83" spans="4:18" x14ac:dyDescent="0.25">
      <c r="D83">
        <f t="shared" si="21"/>
        <v>7000</v>
      </c>
      <c r="E83" s="4">
        <f>E$35/E$6*1000+E$31*$D83</f>
        <v>396390.805830175</v>
      </c>
      <c r="F83" s="4">
        <f>F$35/F$6*1000+F$31*$D83</f>
        <v>487602.29612844251</v>
      </c>
      <c r="G83" s="4"/>
      <c r="H83" s="4">
        <f>H$71+H$72*$D83</f>
        <v>301671.49761153362</v>
      </c>
      <c r="I83" s="4"/>
    </row>
    <row r="84" spans="4:18" x14ac:dyDescent="0.25">
      <c r="D84">
        <f t="shared" si="21"/>
        <v>8000</v>
      </c>
      <c r="E84" s="4">
        <f>E$35/E$6*1000+E$31*$D84</f>
        <v>411390.805830175</v>
      </c>
      <c r="F84" s="4">
        <f>F$35/F$6*1000+F$31*$D84</f>
        <v>542390.86755701399</v>
      </c>
      <c r="G84" s="4"/>
      <c r="H84" s="4">
        <f>H$71+H$72*$D84</f>
        <v>326181.30153310223</v>
      </c>
      <c r="I84" s="4"/>
    </row>
    <row r="90" spans="4:18" x14ac:dyDescent="0.25">
      <c r="J90">
        <v>400000</v>
      </c>
      <c r="K90" t="s">
        <v>84</v>
      </c>
    </row>
    <row r="91" spans="4:18" x14ac:dyDescent="0.25">
      <c r="J91">
        <v>8000</v>
      </c>
      <c r="K91" t="s">
        <v>85</v>
      </c>
    </row>
    <row r="92" spans="4:18" x14ac:dyDescent="0.25">
      <c r="J92">
        <f>J90/J91</f>
        <v>50</v>
      </c>
    </row>
    <row r="108" spans="2:13" x14ac:dyDescent="0.25">
      <c r="B108" s="8" t="s">
        <v>0</v>
      </c>
      <c r="F108" s="8" t="s">
        <v>65</v>
      </c>
      <c r="I108" t="s">
        <v>68</v>
      </c>
    </row>
    <row r="110" spans="2:13" x14ac:dyDescent="0.25">
      <c r="B110" s="31"/>
      <c r="C110" s="34" t="s">
        <v>1</v>
      </c>
      <c r="D110" s="34"/>
      <c r="E110" s="49" t="s">
        <v>10</v>
      </c>
      <c r="F110" s="36" t="s">
        <v>10</v>
      </c>
      <c r="G110" s="49" t="s">
        <v>107</v>
      </c>
      <c r="H110" s="35" t="s">
        <v>112</v>
      </c>
      <c r="I110" s="68" t="s">
        <v>113</v>
      </c>
      <c r="J110" s="74"/>
      <c r="L110" s="126" t="s">
        <v>138</v>
      </c>
    </row>
    <row r="111" spans="2:13" x14ac:dyDescent="0.25">
      <c r="B111" s="32"/>
      <c r="C111" s="19" t="s">
        <v>12</v>
      </c>
      <c r="D111" s="19"/>
      <c r="E111" s="69" t="s">
        <v>108</v>
      </c>
      <c r="F111" s="38" t="s">
        <v>111</v>
      </c>
      <c r="G111" s="69" t="s">
        <v>111</v>
      </c>
      <c r="H111" s="37" t="s">
        <v>111</v>
      </c>
      <c r="I111" s="38" t="s">
        <v>111</v>
      </c>
      <c r="J111" s="74"/>
    </row>
    <row r="112" spans="2:13" x14ac:dyDescent="0.25">
      <c r="B112" s="31" t="s">
        <v>11</v>
      </c>
      <c r="C112" s="9"/>
      <c r="D112" s="9"/>
      <c r="E112" s="70"/>
      <c r="F112" s="81"/>
      <c r="G112" s="10"/>
      <c r="H112" s="10"/>
      <c r="I112" s="81"/>
      <c r="J112" s="14"/>
      <c r="K112" t="s">
        <v>140</v>
      </c>
      <c r="L112">
        <v>600</v>
      </c>
      <c r="M112" t="s">
        <v>139</v>
      </c>
    </row>
    <row r="113" spans="2:13" x14ac:dyDescent="0.25">
      <c r="B113" s="33"/>
      <c r="C113" s="14" t="s">
        <v>3</v>
      </c>
      <c r="D113" s="14" t="s">
        <v>4</v>
      </c>
      <c r="E113" s="54">
        <v>250</v>
      </c>
      <c r="F113" s="26">
        <v>120</v>
      </c>
      <c r="G113" s="25">
        <v>120</v>
      </c>
      <c r="H113" s="25">
        <v>120</v>
      </c>
      <c r="I113" s="26">
        <v>120</v>
      </c>
      <c r="J113" s="25"/>
      <c r="L113">
        <f>L112/11.63</f>
        <v>51.59071367153912</v>
      </c>
      <c r="M113" t="s">
        <v>141</v>
      </c>
    </row>
    <row r="114" spans="2:13" x14ac:dyDescent="0.25">
      <c r="B114" s="33"/>
      <c r="C114" s="14" t="s">
        <v>6</v>
      </c>
      <c r="D114" s="14" t="s">
        <v>7</v>
      </c>
      <c r="E114" s="55">
        <v>0.53</v>
      </c>
      <c r="F114" s="28">
        <v>0.42</v>
      </c>
      <c r="G114" s="27">
        <v>0.42</v>
      </c>
      <c r="H114" s="27">
        <v>0.42</v>
      </c>
      <c r="I114" s="28">
        <v>0.42</v>
      </c>
      <c r="J114" s="27"/>
    </row>
    <row r="115" spans="2:13" x14ac:dyDescent="0.25">
      <c r="B115" s="33"/>
      <c r="C115" s="14" t="s">
        <v>8</v>
      </c>
      <c r="D115" s="14" t="s">
        <v>4</v>
      </c>
      <c r="E115" s="56">
        <f>E113/E114</f>
        <v>471.69811320754712</v>
      </c>
      <c r="F115" s="16">
        <f>F113/F114</f>
        <v>285.71428571428572</v>
      </c>
      <c r="G115" s="15">
        <f>G113/G114</f>
        <v>285.71428571428572</v>
      </c>
      <c r="H115" s="15">
        <f>H113/H114</f>
        <v>285.71428571428572</v>
      </c>
      <c r="I115" s="16">
        <f>I113/I114</f>
        <v>285.71428571428572</v>
      </c>
      <c r="J115" s="15"/>
    </row>
    <row r="116" spans="2:13" x14ac:dyDescent="0.25">
      <c r="B116" s="33"/>
      <c r="C116" s="14" t="s">
        <v>37</v>
      </c>
      <c r="D116" s="14" t="s">
        <v>38</v>
      </c>
      <c r="E116" s="56">
        <f>94.6*3.6</f>
        <v>340.56</v>
      </c>
      <c r="F116" s="16">
        <f>55.05*3.6</f>
        <v>198.18</v>
      </c>
      <c r="G116" s="15">
        <f>78.8*3.6</f>
        <v>283.68</v>
      </c>
      <c r="H116" s="15">
        <v>0</v>
      </c>
      <c r="I116" s="16">
        <v>273</v>
      </c>
      <c r="J116" s="15"/>
    </row>
    <row r="117" spans="2:13" x14ac:dyDescent="0.25">
      <c r="B117" s="31" t="s">
        <v>13</v>
      </c>
      <c r="C117" s="9"/>
      <c r="D117" s="9"/>
      <c r="E117" s="60"/>
      <c r="F117" s="24"/>
      <c r="G117" s="9"/>
      <c r="H117" s="9"/>
      <c r="I117" s="24"/>
      <c r="J117" s="14"/>
    </row>
    <row r="118" spans="2:13" x14ac:dyDescent="0.25">
      <c r="B118" s="33"/>
      <c r="C118" s="14" t="s">
        <v>14</v>
      </c>
      <c r="D118" s="14" t="s">
        <v>15</v>
      </c>
      <c r="E118" s="56">
        <v>500</v>
      </c>
      <c r="F118" s="16">
        <f>E118</f>
        <v>500</v>
      </c>
      <c r="G118" s="15">
        <f t="shared" ref="G118:I118" si="24">F118</f>
        <v>500</v>
      </c>
      <c r="H118" s="15">
        <f t="shared" si="24"/>
        <v>500</v>
      </c>
      <c r="I118" s="16">
        <f t="shared" si="24"/>
        <v>500</v>
      </c>
      <c r="J118" s="15"/>
    </row>
    <row r="119" spans="2:13" x14ac:dyDescent="0.25">
      <c r="B119" s="33"/>
      <c r="C119" s="14" t="s">
        <v>16</v>
      </c>
      <c r="D119" s="14" t="s">
        <v>18</v>
      </c>
      <c r="E119" s="56">
        <f t="shared" ref="E119" si="25">E113*E118/1000</f>
        <v>125</v>
      </c>
      <c r="F119" s="16">
        <f t="shared" ref="F119:H119" si="26">F113*F118/1000</f>
        <v>60</v>
      </c>
      <c r="G119" s="15">
        <f t="shared" si="26"/>
        <v>60</v>
      </c>
      <c r="H119" s="15">
        <f t="shared" si="26"/>
        <v>60</v>
      </c>
      <c r="I119" s="16">
        <f t="shared" ref="I119" si="27">I113*I118/1000</f>
        <v>60</v>
      </c>
      <c r="J119" s="15"/>
    </row>
    <row r="120" spans="2:13" x14ac:dyDescent="0.25">
      <c r="B120" s="33"/>
      <c r="C120" s="14" t="s">
        <v>41</v>
      </c>
      <c r="D120" s="14" t="s">
        <v>18</v>
      </c>
      <c r="E120" s="56">
        <f>E118*E115/1000</f>
        <v>235.84905660377356</v>
      </c>
      <c r="F120" s="16">
        <f>F118*F115/1000</f>
        <v>142.85714285714286</v>
      </c>
      <c r="G120" s="15">
        <f>G118*G115/1000</f>
        <v>142.85714285714286</v>
      </c>
      <c r="H120" s="15">
        <f>H118*H115/1000</f>
        <v>142.85714285714286</v>
      </c>
      <c r="I120" s="16">
        <f>I118*I115/1000</f>
        <v>142.85714285714286</v>
      </c>
      <c r="J120" s="15"/>
    </row>
    <row r="121" spans="2:13" x14ac:dyDescent="0.25">
      <c r="B121" s="32"/>
      <c r="C121" s="11" t="s">
        <v>42</v>
      </c>
      <c r="D121" s="11" t="s">
        <v>43</v>
      </c>
      <c r="E121" s="61">
        <f t="shared" ref="E121" si="28">E120*E116/1000</f>
        <v>80.320754716981128</v>
      </c>
      <c r="F121" s="30">
        <f t="shared" ref="F121:H121" si="29">F120*F116/1000</f>
        <v>28.311428571428571</v>
      </c>
      <c r="G121" s="29">
        <f t="shared" si="29"/>
        <v>40.525714285714287</v>
      </c>
      <c r="H121" s="29">
        <f t="shared" si="29"/>
        <v>0</v>
      </c>
      <c r="I121" s="30">
        <f t="shared" ref="I121" si="30">I120*I116/1000</f>
        <v>39</v>
      </c>
      <c r="J121" s="15"/>
    </row>
    <row r="122" spans="2:13" x14ac:dyDescent="0.25">
      <c r="B122" s="33" t="s">
        <v>19</v>
      </c>
      <c r="C122" s="14"/>
      <c r="D122" s="14"/>
      <c r="E122" s="56"/>
      <c r="F122" s="16"/>
      <c r="G122" s="15"/>
      <c r="H122" s="15"/>
      <c r="I122" s="16"/>
      <c r="J122" s="15"/>
    </row>
    <row r="123" spans="2:13" x14ac:dyDescent="0.25">
      <c r="B123" s="33"/>
      <c r="C123" s="14" t="s">
        <v>20</v>
      </c>
      <c r="D123" s="14" t="s">
        <v>22</v>
      </c>
      <c r="E123" s="56">
        <v>220</v>
      </c>
      <c r="F123" s="16">
        <f>E123</f>
        <v>220</v>
      </c>
      <c r="G123" s="15">
        <f>F123</f>
        <v>220</v>
      </c>
      <c r="H123" s="15">
        <f>G123</f>
        <v>220</v>
      </c>
      <c r="I123" s="16">
        <f>H123</f>
        <v>220</v>
      </c>
      <c r="J123" s="15"/>
    </row>
    <row r="124" spans="2:13" x14ac:dyDescent="0.25">
      <c r="B124" s="33"/>
      <c r="C124" s="14" t="s">
        <v>21</v>
      </c>
      <c r="D124" s="14" t="s">
        <v>22</v>
      </c>
      <c r="E124" s="56"/>
      <c r="F124" s="16"/>
      <c r="G124" s="15"/>
      <c r="H124" s="15"/>
      <c r="I124" s="16"/>
      <c r="J124" s="15"/>
    </row>
    <row r="125" spans="2:13" x14ac:dyDescent="0.25">
      <c r="B125" s="33"/>
      <c r="C125" s="14" t="s">
        <v>1</v>
      </c>
      <c r="D125" s="14" t="s">
        <v>22</v>
      </c>
      <c r="E125" s="56">
        <v>35</v>
      </c>
      <c r="F125" s="16">
        <v>35</v>
      </c>
      <c r="G125" s="15">
        <v>50</v>
      </c>
      <c r="H125" s="15">
        <v>70</v>
      </c>
      <c r="I125" s="16">
        <v>70</v>
      </c>
      <c r="J125" s="15"/>
    </row>
    <row r="126" spans="2:13" x14ac:dyDescent="0.25">
      <c r="B126" s="33"/>
      <c r="C126" s="14" t="s">
        <v>39</v>
      </c>
      <c r="D126" s="14" t="s">
        <v>40</v>
      </c>
      <c r="E126" s="56">
        <v>20</v>
      </c>
      <c r="F126" s="16">
        <f>E126</f>
        <v>20</v>
      </c>
      <c r="G126" s="15">
        <f t="shared" ref="G126:I126" si="31">F126</f>
        <v>20</v>
      </c>
      <c r="H126" s="15">
        <f t="shared" si="31"/>
        <v>20</v>
      </c>
      <c r="I126" s="16">
        <f t="shared" si="31"/>
        <v>20</v>
      </c>
      <c r="J126" s="15"/>
    </row>
    <row r="127" spans="2:13" x14ac:dyDescent="0.25">
      <c r="B127" s="33"/>
      <c r="C127" s="14" t="s">
        <v>35</v>
      </c>
      <c r="D127" s="14" t="s">
        <v>22</v>
      </c>
      <c r="E127" s="56">
        <v>0</v>
      </c>
      <c r="F127" s="16">
        <v>0</v>
      </c>
      <c r="G127" s="15">
        <v>0</v>
      </c>
      <c r="H127" s="15">
        <v>0</v>
      </c>
      <c r="I127" s="16">
        <v>0</v>
      </c>
      <c r="J127" s="15"/>
    </row>
    <row r="128" spans="2:13" x14ac:dyDescent="0.25">
      <c r="B128" s="33"/>
      <c r="C128" s="14" t="s">
        <v>27</v>
      </c>
      <c r="D128" s="14" t="s">
        <v>22</v>
      </c>
      <c r="E128" s="56">
        <v>10</v>
      </c>
      <c r="F128" s="16">
        <v>7</v>
      </c>
      <c r="G128" s="15">
        <v>10</v>
      </c>
      <c r="H128" s="15">
        <v>10</v>
      </c>
      <c r="I128" s="16">
        <v>10</v>
      </c>
      <c r="J128" s="15"/>
    </row>
    <row r="129" spans="2:10" x14ac:dyDescent="0.25">
      <c r="B129" s="33"/>
      <c r="C129" s="14" t="s">
        <v>30</v>
      </c>
      <c r="D129" s="14" t="s">
        <v>31</v>
      </c>
      <c r="E129" s="56">
        <v>800</v>
      </c>
      <c r="F129" s="16">
        <v>600</v>
      </c>
      <c r="G129" s="15">
        <v>800</v>
      </c>
      <c r="H129" s="15">
        <v>700</v>
      </c>
      <c r="I129" s="16">
        <v>600</v>
      </c>
      <c r="J129" s="15"/>
    </row>
    <row r="130" spans="2:10" x14ac:dyDescent="0.25">
      <c r="B130" s="31" t="s">
        <v>23</v>
      </c>
      <c r="C130" s="9"/>
      <c r="D130" s="9"/>
      <c r="E130" s="62"/>
      <c r="F130" s="13"/>
      <c r="G130" s="12"/>
      <c r="H130" s="12"/>
      <c r="I130" s="13"/>
      <c r="J130" s="15"/>
    </row>
    <row r="131" spans="2:10" x14ac:dyDescent="0.25">
      <c r="B131" s="32"/>
      <c r="C131" s="11" t="s">
        <v>20</v>
      </c>
      <c r="D131" s="11" t="s">
        <v>25</v>
      </c>
      <c r="E131" s="61">
        <f t="shared" ref="E131" si="32">E119*E123</f>
        <v>27500</v>
      </c>
      <c r="F131" s="30">
        <f t="shared" ref="F131:H131" si="33">F119*F123</f>
        <v>13200</v>
      </c>
      <c r="G131" s="29">
        <f t="shared" si="33"/>
        <v>13200</v>
      </c>
      <c r="H131" s="29">
        <f t="shared" si="33"/>
        <v>13200</v>
      </c>
      <c r="I131" s="30">
        <f t="shared" ref="I131" si="34">I119*I123</f>
        <v>13200</v>
      </c>
      <c r="J131" s="15"/>
    </row>
    <row r="132" spans="2:10" x14ac:dyDescent="0.25">
      <c r="B132" s="33" t="s">
        <v>64</v>
      </c>
      <c r="C132" s="14"/>
      <c r="D132" s="14"/>
      <c r="E132" s="56"/>
      <c r="F132" s="16"/>
      <c r="G132" s="15"/>
      <c r="H132" s="15"/>
      <c r="I132" s="16"/>
      <c r="J132" s="15"/>
    </row>
    <row r="133" spans="2:10" x14ac:dyDescent="0.25">
      <c r="B133" s="33"/>
      <c r="C133" s="14" t="s">
        <v>1</v>
      </c>
      <c r="D133" s="14" t="s">
        <v>25</v>
      </c>
      <c r="E133" s="56">
        <f t="shared" ref="E133" si="35">E120*E125</f>
        <v>8254.7169811320746</v>
      </c>
      <c r="F133" s="16">
        <f t="shared" ref="F133:H133" si="36">F120*F125</f>
        <v>5000</v>
      </c>
      <c r="G133" s="15">
        <f t="shared" si="36"/>
        <v>7142.8571428571431</v>
      </c>
      <c r="H133" s="15">
        <f t="shared" si="36"/>
        <v>10000</v>
      </c>
      <c r="I133" s="16">
        <f t="shared" ref="I133" si="37">I120*I125</f>
        <v>10000</v>
      </c>
      <c r="J133" s="15"/>
    </row>
    <row r="134" spans="2:10" x14ac:dyDescent="0.25">
      <c r="B134" s="33"/>
      <c r="C134" s="14" t="s">
        <v>44</v>
      </c>
      <c r="D134" s="14" t="s">
        <v>25</v>
      </c>
      <c r="E134" s="56">
        <f t="shared" ref="E134" si="38">E121*E126</f>
        <v>1606.4150943396226</v>
      </c>
      <c r="F134" s="16">
        <f t="shared" ref="F134:H134" si="39">F121*F126</f>
        <v>566.2285714285714</v>
      </c>
      <c r="G134" s="15">
        <f t="shared" si="39"/>
        <v>810.51428571428573</v>
      </c>
      <c r="H134" s="15">
        <f t="shared" si="39"/>
        <v>0</v>
      </c>
      <c r="I134" s="16">
        <f t="shared" ref="I134" si="40">I121*I126</f>
        <v>780</v>
      </c>
      <c r="J134" s="15"/>
    </row>
    <row r="135" spans="2:10" x14ac:dyDescent="0.25">
      <c r="B135" s="33"/>
      <c r="C135" s="14" t="s">
        <v>35</v>
      </c>
      <c r="D135" s="14" t="s">
        <v>25</v>
      </c>
      <c r="E135" s="56">
        <f>E127*E120</f>
        <v>0</v>
      </c>
      <c r="F135" s="16">
        <f>F127*F120</f>
        <v>0</v>
      </c>
      <c r="G135" s="15">
        <f>G127*G120</f>
        <v>0</v>
      </c>
      <c r="H135" s="15">
        <f>H127*H120</f>
        <v>0</v>
      </c>
      <c r="I135" s="16">
        <f>I127*I120</f>
        <v>0</v>
      </c>
      <c r="J135" s="15"/>
    </row>
    <row r="136" spans="2:10" x14ac:dyDescent="0.25">
      <c r="B136" s="33"/>
      <c r="C136" s="14" t="s">
        <v>28</v>
      </c>
      <c r="D136" s="14" t="s">
        <v>25</v>
      </c>
      <c r="E136" s="56">
        <f t="shared" ref="E136" si="41">E128*E119</f>
        <v>1250</v>
      </c>
      <c r="F136" s="16">
        <f t="shared" ref="F136:H136" si="42">F128*F119</f>
        <v>420</v>
      </c>
      <c r="G136" s="15">
        <f t="shared" si="42"/>
        <v>600</v>
      </c>
      <c r="H136" s="15">
        <f t="shared" si="42"/>
        <v>600</v>
      </c>
      <c r="I136" s="16">
        <f t="shared" ref="I136" si="43">I128*I119</f>
        <v>600</v>
      </c>
      <c r="J136" s="15"/>
    </row>
    <row r="137" spans="2:10" x14ac:dyDescent="0.25">
      <c r="B137" s="33"/>
      <c r="C137" s="14" t="s">
        <v>9</v>
      </c>
      <c r="D137" s="9" t="s">
        <v>25</v>
      </c>
      <c r="E137" s="63">
        <f t="shared" ref="E137" si="44">SUM(E133:E136)</f>
        <v>11111.132075471698</v>
      </c>
      <c r="F137" s="21">
        <f t="shared" ref="F137:H137" si="45">SUM(F133:F136)</f>
        <v>5986.2285714285717</v>
      </c>
      <c r="G137" s="20">
        <f t="shared" si="45"/>
        <v>8553.3714285714286</v>
      </c>
      <c r="H137" s="20">
        <f t="shared" si="45"/>
        <v>10600</v>
      </c>
      <c r="I137" s="21">
        <f t="shared" ref="I137" si="46">SUM(I133:I136)</f>
        <v>11380</v>
      </c>
      <c r="J137" s="17"/>
    </row>
    <row r="138" spans="2:10" x14ac:dyDescent="0.25">
      <c r="B138" s="33"/>
      <c r="C138" s="14"/>
      <c r="D138" s="41" t="s">
        <v>22</v>
      </c>
      <c r="E138" s="58">
        <f>E137/E119</f>
        <v>88.889056603773582</v>
      </c>
      <c r="F138" s="59">
        <f>F137/F119</f>
        <v>99.770476190476202</v>
      </c>
      <c r="G138" s="77">
        <f>G137/G119</f>
        <v>142.55619047619047</v>
      </c>
      <c r="H138" s="77">
        <f>H137/H119</f>
        <v>176.66666666666666</v>
      </c>
      <c r="I138" s="59">
        <f>I137/I119</f>
        <v>189.66666666666666</v>
      </c>
      <c r="J138" s="77"/>
    </row>
    <row r="139" spans="2:10" x14ac:dyDescent="0.25">
      <c r="B139" s="79" t="s">
        <v>29</v>
      </c>
      <c r="C139" s="78"/>
      <c r="D139" s="78" t="s">
        <v>25</v>
      </c>
      <c r="E139" s="131">
        <f t="shared" ref="E139" si="47">E131-E137</f>
        <v>16388.867924528302</v>
      </c>
      <c r="F139" s="130">
        <f t="shared" ref="F139:H139" si="48">F131-F137</f>
        <v>7213.7714285714283</v>
      </c>
      <c r="G139" s="129">
        <f t="shared" si="48"/>
        <v>4646.6285714285714</v>
      </c>
      <c r="H139" s="129">
        <f t="shared" si="48"/>
        <v>2600</v>
      </c>
      <c r="I139" s="130">
        <f t="shared" ref="I139" si="49">I131-I137</f>
        <v>1820</v>
      </c>
      <c r="J139" s="17"/>
    </row>
    <row r="140" spans="2:10" x14ac:dyDescent="0.25">
      <c r="B140" s="33" t="s">
        <v>30</v>
      </c>
      <c r="C140" s="14"/>
      <c r="D140" s="14" t="s">
        <v>25</v>
      </c>
      <c r="E140" s="57">
        <f t="shared" ref="E140" si="50">E113*E129</f>
        <v>200000</v>
      </c>
      <c r="F140" s="18">
        <f t="shared" ref="F140:H140" si="51">F113*F129</f>
        <v>72000</v>
      </c>
      <c r="G140" s="17">
        <f t="shared" si="51"/>
        <v>96000</v>
      </c>
      <c r="H140" s="17">
        <f t="shared" si="51"/>
        <v>84000</v>
      </c>
      <c r="I140" s="18">
        <f t="shared" ref="I140" si="52">I113*I129</f>
        <v>72000</v>
      </c>
      <c r="J140" s="17"/>
    </row>
    <row r="141" spans="2:10" x14ac:dyDescent="0.25">
      <c r="B141" s="33"/>
      <c r="C141" s="41" t="s">
        <v>45</v>
      </c>
      <c r="D141" s="14" t="s">
        <v>25</v>
      </c>
      <c r="E141" s="56">
        <f t="shared" ref="E141" si="53">-PMT(5%,30,E140)</f>
        <v>13010.287016055316</v>
      </c>
      <c r="F141" s="16">
        <f t="shared" ref="F141:H141" si="54">-PMT(5%,30,F140)</f>
        <v>4683.7033257799139</v>
      </c>
      <c r="G141" s="15">
        <f t="shared" si="54"/>
        <v>6244.9377677065522</v>
      </c>
      <c r="H141" s="15">
        <f t="shared" si="54"/>
        <v>5464.3205467432335</v>
      </c>
      <c r="I141" s="16">
        <f t="shared" ref="I141" si="55">-PMT(5%,30,I140)</f>
        <v>4683.7033257799139</v>
      </c>
      <c r="J141" s="15"/>
    </row>
    <row r="142" spans="2:10" x14ac:dyDescent="0.25">
      <c r="B142" s="33"/>
      <c r="C142" s="14" t="s">
        <v>69</v>
      </c>
      <c r="D142" s="14" t="s">
        <v>22</v>
      </c>
      <c r="E142" s="58">
        <f t="shared" ref="E142" si="56">E141/E119</f>
        <v>104.08229612844252</v>
      </c>
      <c r="F142" s="59">
        <f t="shared" ref="F142:H142" si="57">F141/F119</f>
        <v>78.061722096331906</v>
      </c>
      <c r="G142" s="77">
        <f t="shared" si="57"/>
        <v>104.08229612844254</v>
      </c>
      <c r="H142" s="77">
        <f t="shared" si="57"/>
        <v>91.072009112387221</v>
      </c>
      <c r="I142" s="59">
        <f t="shared" ref="I142" si="58">I141/I119</f>
        <v>78.061722096331906</v>
      </c>
      <c r="J142" s="77"/>
    </row>
    <row r="143" spans="2:10" x14ac:dyDescent="0.25">
      <c r="B143" s="31" t="s">
        <v>48</v>
      </c>
      <c r="C143" s="9"/>
      <c r="D143" s="9" t="s">
        <v>25</v>
      </c>
      <c r="E143" s="63">
        <f t="shared" ref="E143" si="59">E137+E141</f>
        <v>24121.419091527016</v>
      </c>
      <c r="F143" s="21">
        <f t="shared" ref="F143:H143" si="60">F137+F141</f>
        <v>10669.931897208486</v>
      </c>
      <c r="G143" s="20">
        <f t="shared" si="60"/>
        <v>14798.30919627798</v>
      </c>
      <c r="H143" s="20">
        <f t="shared" si="60"/>
        <v>16064.320546743234</v>
      </c>
      <c r="I143" s="21">
        <f t="shared" ref="I143" si="61">I137+I141</f>
        <v>16063.703325779914</v>
      </c>
      <c r="J143" s="17"/>
    </row>
    <row r="144" spans="2:10" x14ac:dyDescent="0.25">
      <c r="B144" s="32"/>
      <c r="C144" s="19" t="s">
        <v>144</v>
      </c>
      <c r="D144" s="19" t="s">
        <v>22</v>
      </c>
      <c r="E144" s="65">
        <f t="shared" ref="E144" si="62">E143/E119</f>
        <v>192.97135273221613</v>
      </c>
      <c r="F144" s="45">
        <f t="shared" ref="F144:H144" si="63">F143/F119</f>
        <v>177.83219828680811</v>
      </c>
      <c r="G144" s="44">
        <f t="shared" si="63"/>
        <v>246.63848660463299</v>
      </c>
      <c r="H144" s="44">
        <f t="shared" si="63"/>
        <v>267.73867577905389</v>
      </c>
      <c r="I144" s="45">
        <f t="shared" ref="I144" si="64">I143/I119</f>
        <v>267.72838876299858</v>
      </c>
      <c r="J144" s="77"/>
    </row>
    <row r="145" spans="2:10" x14ac:dyDescent="0.25">
      <c r="B145" s="32" t="s">
        <v>32</v>
      </c>
      <c r="C145" s="11"/>
      <c r="D145" s="19" t="s">
        <v>33</v>
      </c>
      <c r="E145" s="71">
        <f t="shared" ref="E145" si="65">E140/E139</f>
        <v>12.203405440876804</v>
      </c>
      <c r="F145" s="43">
        <f t="shared" ref="F145:H145" si="66">F140/F139</f>
        <v>9.9809095301843307</v>
      </c>
      <c r="G145" s="42">
        <f t="shared" si="66"/>
        <v>20.660140685719909</v>
      </c>
      <c r="H145" s="42">
        <f t="shared" si="66"/>
        <v>32.307692307692307</v>
      </c>
      <c r="I145" s="43">
        <f t="shared" ref="I145" si="67">I140/I139</f>
        <v>39.560439560439562</v>
      </c>
      <c r="J145" s="128"/>
    </row>
    <row r="146" spans="2:10" x14ac:dyDescent="0.25">
      <c r="J146" s="14"/>
    </row>
    <row r="147" spans="2:10" x14ac:dyDescent="0.25">
      <c r="J147" s="14"/>
    </row>
    <row r="148" spans="2:10" x14ac:dyDescent="0.25">
      <c r="B148" s="8" t="s">
        <v>0</v>
      </c>
      <c r="F148" s="8" t="s">
        <v>65</v>
      </c>
      <c r="I148" t="s">
        <v>68</v>
      </c>
    </row>
    <row r="150" spans="2:10" x14ac:dyDescent="0.25">
      <c r="B150" s="31"/>
      <c r="C150" s="34" t="s">
        <v>147</v>
      </c>
      <c r="D150" s="34"/>
      <c r="E150" s="158" t="s">
        <v>182</v>
      </c>
      <c r="F150" s="49" t="s">
        <v>149</v>
      </c>
      <c r="G150" s="36" t="s">
        <v>149</v>
      </c>
      <c r="H150" s="49" t="s">
        <v>150</v>
      </c>
      <c r="I150" s="35" t="s">
        <v>151</v>
      </c>
      <c r="J150" s="68" t="s">
        <v>152</v>
      </c>
    </row>
    <row r="151" spans="2:10" x14ac:dyDescent="0.25">
      <c r="B151" s="32"/>
      <c r="C151" s="19" t="s">
        <v>148</v>
      </c>
      <c r="D151" s="19"/>
      <c r="E151" s="160" t="s">
        <v>183</v>
      </c>
      <c r="F151" s="69" t="s">
        <v>181</v>
      </c>
      <c r="G151" s="38" t="s">
        <v>153</v>
      </c>
      <c r="H151" s="69" t="s">
        <v>153</v>
      </c>
      <c r="I151" s="37" t="s">
        <v>153</v>
      </c>
      <c r="J151" s="38" t="s">
        <v>153</v>
      </c>
    </row>
    <row r="152" spans="2:10" x14ac:dyDescent="0.25">
      <c r="B152" s="31" t="s">
        <v>154</v>
      </c>
      <c r="C152" s="9"/>
      <c r="D152" s="9"/>
      <c r="E152" s="188"/>
      <c r="F152" s="70"/>
      <c r="G152" s="81"/>
      <c r="H152" s="10"/>
      <c r="I152" s="10"/>
      <c r="J152" s="81"/>
    </row>
    <row r="153" spans="2:10" x14ac:dyDescent="0.25">
      <c r="B153" s="33"/>
      <c r="C153" s="14" t="s">
        <v>155</v>
      </c>
      <c r="D153" s="14" t="s">
        <v>4</v>
      </c>
      <c r="E153" s="111">
        <v>500</v>
      </c>
      <c r="F153" s="54">
        <v>250</v>
      </c>
      <c r="G153" s="26">
        <v>250</v>
      </c>
      <c r="H153" s="25">
        <v>250</v>
      </c>
      <c r="I153" s="25">
        <v>250</v>
      </c>
      <c r="J153" s="26">
        <v>250</v>
      </c>
    </row>
    <row r="154" spans="2:10" x14ac:dyDescent="0.25">
      <c r="B154" s="33"/>
      <c r="C154" s="14" t="s">
        <v>156</v>
      </c>
      <c r="D154" s="14" t="s">
        <v>7</v>
      </c>
      <c r="E154" s="112">
        <v>0.42</v>
      </c>
      <c r="F154" s="55">
        <v>0.53</v>
      </c>
      <c r="G154" s="28">
        <v>0.42</v>
      </c>
      <c r="H154" s="27">
        <v>0.42</v>
      </c>
      <c r="I154" s="27">
        <v>0.42</v>
      </c>
      <c r="J154" s="28">
        <v>0.42</v>
      </c>
    </row>
    <row r="155" spans="2:10" x14ac:dyDescent="0.25">
      <c r="B155" s="33"/>
      <c r="C155" s="14" t="s">
        <v>157</v>
      </c>
      <c r="D155" s="14" t="s">
        <v>4</v>
      </c>
      <c r="E155" s="97">
        <f t="shared" ref="E155:J155" si="68">E153/E154</f>
        <v>1190.4761904761906</v>
      </c>
      <c r="F155" s="56">
        <f t="shared" si="68"/>
        <v>471.69811320754712</v>
      </c>
      <c r="G155" s="16">
        <f t="shared" si="68"/>
        <v>595.2380952380953</v>
      </c>
      <c r="H155" s="15">
        <f t="shared" si="68"/>
        <v>595.2380952380953</v>
      </c>
      <c r="I155" s="15">
        <f t="shared" si="68"/>
        <v>595.2380952380953</v>
      </c>
      <c r="J155" s="16">
        <f t="shared" si="68"/>
        <v>595.2380952380953</v>
      </c>
    </row>
    <row r="156" spans="2:10" x14ac:dyDescent="0.25">
      <c r="B156" s="33"/>
      <c r="C156" s="14" t="s">
        <v>158</v>
      </c>
      <c r="D156" s="14" t="s">
        <v>38</v>
      </c>
      <c r="E156" s="97">
        <f>94.6*3.6</f>
        <v>340.56</v>
      </c>
      <c r="F156" s="56">
        <f>94.6*3.6</f>
        <v>340.56</v>
      </c>
      <c r="G156" s="16">
        <f>55.05*3.6</f>
        <v>198.18</v>
      </c>
      <c r="H156" s="15">
        <f>78.8*3.6</f>
        <v>283.68</v>
      </c>
      <c r="I156" s="15">
        <v>0</v>
      </c>
      <c r="J156" s="16">
        <v>273</v>
      </c>
    </row>
    <row r="157" spans="2:10" x14ac:dyDescent="0.25">
      <c r="B157" s="31" t="s">
        <v>159</v>
      </c>
      <c r="C157" s="9"/>
      <c r="D157" s="9"/>
      <c r="E157" s="108"/>
      <c r="F157" s="60"/>
      <c r="G157" s="24"/>
      <c r="H157" s="9"/>
      <c r="I157" s="9"/>
      <c r="J157" s="24"/>
    </row>
    <row r="158" spans="2:10" x14ac:dyDescent="0.25">
      <c r="B158" s="33"/>
      <c r="C158" s="14" t="s">
        <v>160</v>
      </c>
      <c r="D158" s="14" t="s">
        <v>15</v>
      </c>
      <c r="E158" s="97">
        <v>500</v>
      </c>
      <c r="F158" s="56">
        <v>500</v>
      </c>
      <c r="G158" s="16">
        <f>F158</f>
        <v>500</v>
      </c>
      <c r="H158" s="15">
        <f t="shared" ref="H158" si="69">G158</f>
        <v>500</v>
      </c>
      <c r="I158" s="15">
        <f t="shared" ref="I158" si="70">H158</f>
        <v>500</v>
      </c>
      <c r="J158" s="16">
        <f t="shared" ref="J158" si="71">I158</f>
        <v>500</v>
      </c>
    </row>
    <row r="159" spans="2:10" x14ac:dyDescent="0.25">
      <c r="B159" s="33"/>
      <c r="C159" s="14" t="s">
        <v>161</v>
      </c>
      <c r="D159" s="14" t="s">
        <v>18</v>
      </c>
      <c r="E159" s="97">
        <f t="shared" ref="E159" si="72">E153*E158/1000</f>
        <v>250</v>
      </c>
      <c r="F159" s="56">
        <f t="shared" ref="F159:J159" si="73">F153*F158/1000</f>
        <v>125</v>
      </c>
      <c r="G159" s="16">
        <f t="shared" si="73"/>
        <v>125</v>
      </c>
      <c r="H159" s="15">
        <f t="shared" si="73"/>
        <v>125</v>
      </c>
      <c r="I159" s="15">
        <f t="shared" si="73"/>
        <v>125</v>
      </c>
      <c r="J159" s="16">
        <f t="shared" si="73"/>
        <v>125</v>
      </c>
    </row>
    <row r="160" spans="2:10" x14ac:dyDescent="0.25">
      <c r="B160" s="33"/>
      <c r="C160" s="14" t="s">
        <v>162</v>
      </c>
      <c r="D160" s="14" t="s">
        <v>18</v>
      </c>
      <c r="E160" s="97">
        <f t="shared" ref="E160:J160" si="74">E158*E155/1000</f>
        <v>595.2380952380953</v>
      </c>
      <c r="F160" s="56">
        <f t="shared" si="74"/>
        <v>235.84905660377356</v>
      </c>
      <c r="G160" s="16">
        <f t="shared" si="74"/>
        <v>297.61904761904765</v>
      </c>
      <c r="H160" s="15">
        <f t="shared" si="74"/>
        <v>297.61904761904765</v>
      </c>
      <c r="I160" s="15">
        <f t="shared" si="74"/>
        <v>297.61904761904765</v>
      </c>
      <c r="J160" s="16">
        <f t="shared" si="74"/>
        <v>297.61904761904765</v>
      </c>
    </row>
    <row r="161" spans="2:10" x14ac:dyDescent="0.25">
      <c r="B161" s="32"/>
      <c r="C161" s="11" t="s">
        <v>163</v>
      </c>
      <c r="D161" s="11" t="s">
        <v>43</v>
      </c>
      <c r="E161" s="99">
        <f t="shared" ref="E161" si="75">E160*E156/1000</f>
        <v>202.71428571428575</v>
      </c>
      <c r="F161" s="61">
        <f t="shared" ref="F161:J161" si="76">F160*F156/1000</f>
        <v>80.320754716981128</v>
      </c>
      <c r="G161" s="30">
        <f t="shared" si="76"/>
        <v>58.982142857142861</v>
      </c>
      <c r="H161" s="29">
        <f t="shared" si="76"/>
        <v>84.428571428571431</v>
      </c>
      <c r="I161" s="29">
        <f t="shared" si="76"/>
        <v>0</v>
      </c>
      <c r="J161" s="30">
        <f t="shared" si="76"/>
        <v>81.250000000000014</v>
      </c>
    </row>
    <row r="162" spans="2:10" x14ac:dyDescent="0.25">
      <c r="B162" s="33" t="s">
        <v>164</v>
      </c>
      <c r="C162" s="14"/>
      <c r="D162" s="14"/>
      <c r="E162" s="97"/>
      <c r="F162" s="56"/>
      <c r="G162" s="16"/>
      <c r="H162" s="15"/>
      <c r="I162" s="15"/>
      <c r="J162" s="16"/>
    </row>
    <row r="163" spans="2:10" x14ac:dyDescent="0.25">
      <c r="B163" s="33"/>
      <c r="C163" s="14" t="s">
        <v>165</v>
      </c>
      <c r="D163" s="14" t="s">
        <v>22</v>
      </c>
      <c r="E163" s="97">
        <v>220</v>
      </c>
      <c r="F163" s="56">
        <v>220</v>
      </c>
      <c r="G163" s="16">
        <f>F163</f>
        <v>220</v>
      </c>
      <c r="H163" s="15">
        <f>G163</f>
        <v>220</v>
      </c>
      <c r="I163" s="15">
        <f>H163</f>
        <v>220</v>
      </c>
      <c r="J163" s="16">
        <f>I163</f>
        <v>220</v>
      </c>
    </row>
    <row r="164" spans="2:10" x14ac:dyDescent="0.25">
      <c r="B164" s="33"/>
      <c r="C164" s="14" t="s">
        <v>147</v>
      </c>
      <c r="D164" s="14" t="s">
        <v>22</v>
      </c>
      <c r="E164" s="97"/>
      <c r="F164" s="56">
        <v>35</v>
      </c>
      <c r="G164" s="16">
        <v>35</v>
      </c>
      <c r="H164" s="15">
        <v>50</v>
      </c>
      <c r="I164" s="15">
        <v>70</v>
      </c>
      <c r="J164" s="16">
        <v>70</v>
      </c>
    </row>
    <row r="165" spans="2:10" x14ac:dyDescent="0.25">
      <c r="B165" s="33"/>
      <c r="C165" s="14" t="s">
        <v>166</v>
      </c>
      <c r="D165" s="14" t="s">
        <v>40</v>
      </c>
      <c r="E165" s="97">
        <v>12</v>
      </c>
      <c r="F165" s="56">
        <v>20</v>
      </c>
      <c r="G165" s="16">
        <f>F165</f>
        <v>20</v>
      </c>
      <c r="H165" s="15">
        <f t="shared" ref="H165" si="77">G165</f>
        <v>20</v>
      </c>
      <c r="I165" s="15">
        <f t="shared" ref="I165" si="78">H165</f>
        <v>20</v>
      </c>
      <c r="J165" s="16">
        <f t="shared" ref="J165" si="79">I165</f>
        <v>20</v>
      </c>
    </row>
    <row r="166" spans="2:10" x14ac:dyDescent="0.25">
      <c r="B166" s="33"/>
      <c r="C166" s="14" t="s">
        <v>167</v>
      </c>
      <c r="D166" s="14" t="s">
        <v>22</v>
      </c>
      <c r="E166" s="97">
        <v>0</v>
      </c>
      <c r="F166" s="56">
        <v>0</v>
      </c>
      <c r="G166" s="16">
        <v>0</v>
      </c>
      <c r="H166" s="15">
        <v>0</v>
      </c>
      <c r="I166" s="15">
        <v>0</v>
      </c>
      <c r="J166" s="16">
        <v>0</v>
      </c>
    </row>
    <row r="167" spans="2:10" x14ac:dyDescent="0.25">
      <c r="B167" s="33"/>
      <c r="C167" s="14" t="s">
        <v>168</v>
      </c>
      <c r="D167" s="14" t="s">
        <v>22</v>
      </c>
      <c r="E167" s="97">
        <v>10</v>
      </c>
      <c r="F167" s="56">
        <v>10</v>
      </c>
      <c r="G167" s="16">
        <v>7</v>
      </c>
      <c r="H167" s="15">
        <v>10</v>
      </c>
      <c r="I167" s="15">
        <v>10</v>
      </c>
      <c r="J167" s="16">
        <v>10</v>
      </c>
    </row>
    <row r="168" spans="2:10" x14ac:dyDescent="0.25">
      <c r="B168" s="33"/>
      <c r="C168" s="14" t="s">
        <v>169</v>
      </c>
      <c r="D168" s="14" t="s">
        <v>31</v>
      </c>
      <c r="E168" s="97">
        <v>1600</v>
      </c>
      <c r="F168" s="56">
        <v>800</v>
      </c>
      <c r="G168" s="16">
        <v>600</v>
      </c>
      <c r="H168" s="15">
        <v>700</v>
      </c>
      <c r="I168" s="15">
        <v>700</v>
      </c>
      <c r="J168" s="16">
        <v>600</v>
      </c>
    </row>
    <row r="169" spans="2:10" x14ac:dyDescent="0.25">
      <c r="B169" s="31" t="s">
        <v>170</v>
      </c>
      <c r="C169" s="9"/>
      <c r="D169" s="9"/>
      <c r="E169" s="96"/>
      <c r="F169" s="12"/>
      <c r="G169" s="13"/>
      <c r="H169" s="12"/>
      <c r="I169" s="12"/>
      <c r="J169" s="13"/>
    </row>
    <row r="170" spans="2:10" x14ac:dyDescent="0.25">
      <c r="B170" s="32"/>
      <c r="C170" s="11" t="s">
        <v>165</v>
      </c>
      <c r="D170" s="11" t="s">
        <v>25</v>
      </c>
      <c r="E170" s="99">
        <f t="shared" ref="E170:J170" si="80">E159*E163</f>
        <v>55000</v>
      </c>
      <c r="F170" s="29">
        <f t="shared" si="80"/>
        <v>27500</v>
      </c>
      <c r="G170" s="30">
        <f t="shared" si="80"/>
        <v>27500</v>
      </c>
      <c r="H170" s="29">
        <f t="shared" si="80"/>
        <v>27500</v>
      </c>
      <c r="I170" s="29">
        <f t="shared" si="80"/>
        <v>27500</v>
      </c>
      <c r="J170" s="30">
        <f t="shared" si="80"/>
        <v>27500</v>
      </c>
    </row>
    <row r="171" spans="2:10" x14ac:dyDescent="0.25">
      <c r="B171" s="33" t="s">
        <v>171</v>
      </c>
      <c r="C171" s="14"/>
      <c r="D171" s="14"/>
      <c r="E171" s="109"/>
      <c r="F171" s="56"/>
      <c r="G171" s="16"/>
      <c r="H171" s="15"/>
      <c r="I171" s="15"/>
      <c r="J171" s="16"/>
    </row>
    <row r="172" spans="2:10" x14ac:dyDescent="0.25">
      <c r="B172" s="33"/>
      <c r="C172" s="14" t="s">
        <v>147</v>
      </c>
      <c r="D172" s="14" t="s">
        <v>25</v>
      </c>
      <c r="E172" s="97">
        <f>E160*E165</f>
        <v>7142.8571428571431</v>
      </c>
      <c r="F172" s="56">
        <f t="shared" ref="F172:J173" si="81">F160*F164</f>
        <v>8254.7169811320746</v>
      </c>
      <c r="G172" s="16">
        <f t="shared" si="81"/>
        <v>10416.666666666668</v>
      </c>
      <c r="H172" s="15">
        <f t="shared" si="81"/>
        <v>14880.952380952382</v>
      </c>
      <c r="I172" s="15">
        <f t="shared" si="81"/>
        <v>20833.333333333336</v>
      </c>
      <c r="J172" s="16">
        <f t="shared" si="81"/>
        <v>20833.333333333336</v>
      </c>
    </row>
    <row r="173" spans="2:10" x14ac:dyDescent="0.25">
      <c r="B173" s="33"/>
      <c r="C173" s="14" t="s">
        <v>172</v>
      </c>
      <c r="D173" s="14" t="s">
        <v>25</v>
      </c>
      <c r="E173" s="97">
        <f>E161*E165</f>
        <v>2432.5714285714289</v>
      </c>
      <c r="F173" s="56">
        <f t="shared" si="81"/>
        <v>1606.4150943396226</v>
      </c>
      <c r="G173" s="16">
        <f t="shared" si="81"/>
        <v>1179.6428571428573</v>
      </c>
      <c r="H173" s="15">
        <f t="shared" si="81"/>
        <v>1688.5714285714287</v>
      </c>
      <c r="I173" s="15">
        <f t="shared" si="81"/>
        <v>0</v>
      </c>
      <c r="J173" s="16">
        <f t="shared" si="81"/>
        <v>1625.0000000000002</v>
      </c>
    </row>
    <row r="174" spans="2:10" x14ac:dyDescent="0.25">
      <c r="B174" s="33"/>
      <c r="C174" s="14" t="s">
        <v>167</v>
      </c>
      <c r="D174" s="14" t="s">
        <v>25</v>
      </c>
      <c r="E174" s="97">
        <f t="shared" ref="E174:J174" si="82">E166*E160</f>
        <v>0</v>
      </c>
      <c r="F174" s="56">
        <f t="shared" si="82"/>
        <v>0</v>
      </c>
      <c r="G174" s="16">
        <f t="shared" si="82"/>
        <v>0</v>
      </c>
      <c r="H174" s="15">
        <f t="shared" si="82"/>
        <v>0</v>
      </c>
      <c r="I174" s="15">
        <f t="shared" si="82"/>
        <v>0</v>
      </c>
      <c r="J174" s="16">
        <f t="shared" si="82"/>
        <v>0</v>
      </c>
    </row>
    <row r="175" spans="2:10" x14ac:dyDescent="0.25">
      <c r="B175" s="33"/>
      <c r="C175" s="14" t="s">
        <v>173</v>
      </c>
      <c r="D175" s="14" t="s">
        <v>25</v>
      </c>
      <c r="E175" s="97">
        <f t="shared" ref="E175:J175" si="83">E167*E159</f>
        <v>2500</v>
      </c>
      <c r="F175" s="56">
        <f t="shared" si="83"/>
        <v>1250</v>
      </c>
      <c r="G175" s="16">
        <f t="shared" si="83"/>
        <v>875</v>
      </c>
      <c r="H175" s="15">
        <f t="shared" si="83"/>
        <v>1250</v>
      </c>
      <c r="I175" s="15">
        <f t="shared" si="83"/>
        <v>1250</v>
      </c>
      <c r="J175" s="16">
        <f t="shared" si="83"/>
        <v>1250</v>
      </c>
    </row>
    <row r="176" spans="2:10" x14ac:dyDescent="0.25">
      <c r="B176" s="33"/>
      <c r="C176" s="14" t="s">
        <v>174</v>
      </c>
      <c r="D176" s="9" t="s">
        <v>25</v>
      </c>
      <c r="E176" s="101">
        <f t="shared" ref="E176" si="84">SUM(E172:E175)</f>
        <v>12075.428571428572</v>
      </c>
      <c r="F176" s="63">
        <f t="shared" ref="F176" si="85">SUM(F172:F175)</f>
        <v>11111.132075471698</v>
      </c>
      <c r="G176" s="21">
        <f t="shared" ref="G176:J176" si="86">SUM(G172:G175)</f>
        <v>12471.309523809525</v>
      </c>
      <c r="H176" s="20">
        <f t="shared" si="86"/>
        <v>17819.523809523809</v>
      </c>
      <c r="I176" s="20">
        <f t="shared" si="86"/>
        <v>22083.333333333336</v>
      </c>
      <c r="J176" s="21">
        <f t="shared" si="86"/>
        <v>23708.333333333336</v>
      </c>
    </row>
    <row r="177" spans="2:10" x14ac:dyDescent="0.25">
      <c r="B177" s="33"/>
      <c r="C177" s="14"/>
      <c r="D177" s="41" t="s">
        <v>22</v>
      </c>
      <c r="E177" s="161">
        <f t="shared" ref="E177:J177" si="87">E176/E159</f>
        <v>48.30171428571429</v>
      </c>
      <c r="F177" s="58">
        <f t="shared" si="87"/>
        <v>88.889056603773582</v>
      </c>
      <c r="G177" s="59">
        <f t="shared" si="87"/>
        <v>99.770476190476202</v>
      </c>
      <c r="H177" s="77">
        <f t="shared" si="87"/>
        <v>142.55619047619047</v>
      </c>
      <c r="I177" s="77">
        <f t="shared" si="87"/>
        <v>176.66666666666669</v>
      </c>
      <c r="J177" s="59">
        <f t="shared" si="87"/>
        <v>189.66666666666669</v>
      </c>
    </row>
    <row r="178" spans="2:10" x14ac:dyDescent="0.25">
      <c r="B178" s="31" t="s">
        <v>175</v>
      </c>
      <c r="C178" s="9"/>
      <c r="D178" s="9" t="s">
        <v>25</v>
      </c>
      <c r="E178" s="101">
        <f>E170-E176</f>
        <v>42924.571428571428</v>
      </c>
      <c r="F178" s="63">
        <f t="shared" ref="F178:J178" si="88">F170-F176</f>
        <v>16388.867924528302</v>
      </c>
      <c r="G178" s="21">
        <f t="shared" si="88"/>
        <v>15028.690476190475</v>
      </c>
      <c r="H178" s="20">
        <f t="shared" si="88"/>
        <v>9680.4761904761908</v>
      </c>
      <c r="I178" s="20">
        <f t="shared" si="88"/>
        <v>5416.6666666666642</v>
      </c>
      <c r="J178" s="21">
        <f t="shared" si="88"/>
        <v>3791.6666666666642</v>
      </c>
    </row>
    <row r="179" spans="2:10" x14ac:dyDescent="0.25">
      <c r="B179" s="31" t="s">
        <v>169</v>
      </c>
      <c r="C179" s="9"/>
      <c r="D179" s="9" t="s">
        <v>25</v>
      </c>
      <c r="E179" s="101">
        <f t="shared" ref="E179:J179" si="89">E153*E168</f>
        <v>800000</v>
      </c>
      <c r="F179" s="20">
        <f t="shared" si="89"/>
        <v>200000</v>
      </c>
      <c r="G179" s="21">
        <f t="shared" si="89"/>
        <v>150000</v>
      </c>
      <c r="H179" s="20">
        <f t="shared" si="89"/>
        <v>175000</v>
      </c>
      <c r="I179" s="20">
        <f t="shared" si="89"/>
        <v>175000</v>
      </c>
      <c r="J179" s="21">
        <f t="shared" si="89"/>
        <v>150000</v>
      </c>
    </row>
    <row r="180" spans="2:10" x14ac:dyDescent="0.25">
      <c r="B180" s="33"/>
      <c r="C180" s="41" t="s">
        <v>176</v>
      </c>
      <c r="D180" s="14" t="s">
        <v>25</v>
      </c>
      <c r="E180" s="97">
        <f>-PMT(5%,20,E179)</f>
        <v>64194.069752553049</v>
      </c>
      <c r="F180" s="15">
        <f>-PMT(5%,20,F179)</f>
        <v>16048.517438138262</v>
      </c>
      <c r="G180" s="16">
        <f t="shared" ref="G180:J180" si="90">-PMT(5%,20,G179)</f>
        <v>12036.388078603697</v>
      </c>
      <c r="H180" s="15">
        <f t="shared" si="90"/>
        <v>14042.452758370981</v>
      </c>
      <c r="I180" s="15">
        <f t="shared" si="90"/>
        <v>14042.452758370981</v>
      </c>
      <c r="J180" s="16">
        <f t="shared" si="90"/>
        <v>12036.388078603697</v>
      </c>
    </row>
    <row r="181" spans="2:10" x14ac:dyDescent="0.25">
      <c r="B181" s="32"/>
      <c r="C181" s="11" t="s">
        <v>177</v>
      </c>
      <c r="D181" s="11" t="s">
        <v>22</v>
      </c>
      <c r="E181" s="161">
        <f t="shared" ref="E181:J181" si="91">E180/E159</f>
        <v>256.77627901021219</v>
      </c>
      <c r="F181" s="44">
        <f t="shared" si="91"/>
        <v>128.3881395051061</v>
      </c>
      <c r="G181" s="45">
        <f t="shared" si="91"/>
        <v>96.291104628829572</v>
      </c>
      <c r="H181" s="44">
        <f t="shared" si="91"/>
        <v>112.33962206696785</v>
      </c>
      <c r="I181" s="44">
        <f t="shared" si="91"/>
        <v>112.33962206696785</v>
      </c>
      <c r="J181" s="45">
        <f t="shared" si="91"/>
        <v>96.291104628829572</v>
      </c>
    </row>
    <row r="182" spans="2:10" x14ac:dyDescent="0.25">
      <c r="B182" s="33" t="s">
        <v>178</v>
      </c>
      <c r="C182" s="14"/>
      <c r="D182" s="14" t="s">
        <v>25</v>
      </c>
      <c r="E182" s="104">
        <f>E176+E180</f>
        <v>76269.498323981621</v>
      </c>
      <c r="F182" s="57">
        <f t="shared" ref="F182:J182" si="92">F176+F180</f>
        <v>27159.649513609962</v>
      </c>
      <c r="G182" s="18">
        <f t="shared" si="92"/>
        <v>24507.697602413224</v>
      </c>
      <c r="H182" s="17">
        <f t="shared" si="92"/>
        <v>31861.976567894788</v>
      </c>
      <c r="I182" s="17">
        <f t="shared" si="92"/>
        <v>36125.786091704314</v>
      </c>
      <c r="J182" s="18">
        <f t="shared" si="92"/>
        <v>35744.721411937033</v>
      </c>
    </row>
    <row r="183" spans="2:10" x14ac:dyDescent="0.25">
      <c r="B183" s="32"/>
      <c r="C183" s="19" t="s">
        <v>179</v>
      </c>
      <c r="D183" s="19" t="s">
        <v>22</v>
      </c>
      <c r="E183" s="161">
        <f t="shared" ref="E183:J183" si="93">E182/E159</f>
        <v>305.07799329592649</v>
      </c>
      <c r="F183" s="65">
        <f t="shared" si="93"/>
        <v>217.27719610887971</v>
      </c>
      <c r="G183" s="45">
        <f t="shared" si="93"/>
        <v>196.06158081930579</v>
      </c>
      <c r="H183" s="44">
        <f t="shared" si="93"/>
        <v>254.89581254315831</v>
      </c>
      <c r="I183" s="44">
        <f t="shared" si="93"/>
        <v>289.00628873363451</v>
      </c>
      <c r="J183" s="45">
        <f t="shared" si="93"/>
        <v>285.95777129549629</v>
      </c>
    </row>
    <row r="184" spans="2:10" x14ac:dyDescent="0.25">
      <c r="B184" s="32" t="s">
        <v>180</v>
      </c>
      <c r="C184" s="11"/>
      <c r="D184" s="19" t="s">
        <v>33</v>
      </c>
      <c r="E184" s="105">
        <f>E179/E178</f>
        <v>18.637343912244734</v>
      </c>
      <c r="F184" s="71">
        <f t="shared" ref="F184:J184" si="94">F179/F178</f>
        <v>12.203405440876804</v>
      </c>
      <c r="G184" s="43">
        <f t="shared" si="94"/>
        <v>9.9809095301843307</v>
      </c>
      <c r="H184" s="42">
        <f t="shared" si="94"/>
        <v>18.077623100004917</v>
      </c>
      <c r="I184" s="42">
        <f t="shared" si="94"/>
        <v>32.307692307692321</v>
      </c>
      <c r="J184" s="43">
        <f t="shared" si="94"/>
        <v>39.560439560439583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3" workbookViewId="0">
      <selection activeCell="E1" sqref="E1"/>
    </sheetView>
  </sheetViews>
  <sheetFormatPr defaultRowHeight="15" x14ac:dyDescent="0.25"/>
  <cols>
    <col min="1" max="1" width="2.7109375" customWidth="1"/>
    <col min="2" max="2" width="19.28515625" customWidth="1"/>
    <col min="4" max="5" width="12.140625" customWidth="1"/>
    <col min="6" max="7" width="10.42578125" customWidth="1"/>
  </cols>
  <sheetData>
    <row r="1" spans="1:7" x14ac:dyDescent="0.25">
      <c r="A1" t="s">
        <v>57</v>
      </c>
      <c r="E1" s="8" t="s">
        <v>66</v>
      </c>
      <c r="G1" t="s">
        <v>61</v>
      </c>
    </row>
    <row r="3" spans="1:7" x14ac:dyDescent="0.25">
      <c r="B3" t="s">
        <v>1</v>
      </c>
      <c r="D3" s="5" t="s">
        <v>2</v>
      </c>
      <c r="E3" s="5" t="s">
        <v>51</v>
      </c>
      <c r="F3" s="5" t="s">
        <v>10</v>
      </c>
      <c r="G3" s="5" t="s">
        <v>60</v>
      </c>
    </row>
    <row r="4" spans="1:7" x14ac:dyDescent="0.25">
      <c r="B4" t="s">
        <v>12</v>
      </c>
      <c r="D4" s="5" t="s">
        <v>58</v>
      </c>
      <c r="E4" s="5" t="s">
        <v>58</v>
      </c>
      <c r="F4" s="5" t="s">
        <v>58</v>
      </c>
      <c r="G4" s="5" t="s">
        <v>58</v>
      </c>
    </row>
    <row r="5" spans="1:7" x14ac:dyDescent="0.25">
      <c r="A5" t="s">
        <v>11</v>
      </c>
      <c r="D5" s="5" t="s">
        <v>59</v>
      </c>
      <c r="E5" s="5" t="s">
        <v>59</v>
      </c>
      <c r="F5" s="5" t="s">
        <v>59</v>
      </c>
      <c r="G5" s="5" t="s">
        <v>59</v>
      </c>
    </row>
    <row r="6" spans="1:7" x14ac:dyDescent="0.25">
      <c r="B6" t="s">
        <v>3</v>
      </c>
      <c r="C6" t="s">
        <v>4</v>
      </c>
      <c r="D6" s="5">
        <v>0</v>
      </c>
      <c r="E6" s="5">
        <v>0</v>
      </c>
      <c r="F6" s="5">
        <v>0</v>
      </c>
      <c r="G6" s="5">
        <v>0</v>
      </c>
    </row>
    <row r="7" spans="1:7" x14ac:dyDescent="0.25">
      <c r="B7" t="s">
        <v>5</v>
      </c>
      <c r="C7" t="s">
        <v>4</v>
      </c>
      <c r="D7" s="5">
        <v>120</v>
      </c>
      <c r="E7" s="5">
        <v>120</v>
      </c>
      <c r="F7" s="5">
        <v>120</v>
      </c>
      <c r="G7" s="5">
        <v>120</v>
      </c>
    </row>
    <row r="8" spans="1:7" x14ac:dyDescent="0.25">
      <c r="B8" t="s">
        <v>9</v>
      </c>
      <c r="C8" t="s">
        <v>4</v>
      </c>
      <c r="D8" s="5">
        <f>D6+D7</f>
        <v>120</v>
      </c>
      <c r="E8" s="5">
        <f>E6+E7</f>
        <v>120</v>
      </c>
      <c r="F8" s="5">
        <f>F6+F7</f>
        <v>120</v>
      </c>
      <c r="G8" s="5">
        <f>G6+G7</f>
        <v>120</v>
      </c>
    </row>
    <row r="9" spans="1:7" x14ac:dyDescent="0.25">
      <c r="B9" t="s">
        <v>6</v>
      </c>
      <c r="C9" t="s">
        <v>7</v>
      </c>
      <c r="D9" s="7">
        <v>0.85</v>
      </c>
      <c r="E9" s="7">
        <v>0.8</v>
      </c>
      <c r="F9" s="7">
        <v>0.9</v>
      </c>
      <c r="G9" s="7">
        <v>0.85</v>
      </c>
    </row>
    <row r="10" spans="1:7" x14ac:dyDescent="0.25">
      <c r="B10" t="s">
        <v>8</v>
      </c>
      <c r="C10" t="s">
        <v>4</v>
      </c>
      <c r="D10" s="3">
        <f>D8/D9</f>
        <v>141.1764705882353</v>
      </c>
      <c r="E10" s="3">
        <f>E8/E9</f>
        <v>150</v>
      </c>
      <c r="F10" s="3">
        <f>F8/F9</f>
        <v>133.33333333333334</v>
      </c>
      <c r="G10" s="3">
        <f>G8/G9</f>
        <v>141.1764705882353</v>
      </c>
    </row>
    <row r="11" spans="1:7" x14ac:dyDescent="0.25">
      <c r="B11" t="s">
        <v>37</v>
      </c>
      <c r="C11" t="s">
        <v>38</v>
      </c>
      <c r="D11" s="3">
        <f>94.6*3.6</f>
        <v>340.56</v>
      </c>
      <c r="E11" s="3">
        <v>0</v>
      </c>
      <c r="F11" s="3">
        <f>55.05*3.6</f>
        <v>198.18</v>
      </c>
      <c r="G11" s="3">
        <f>78.8*3.6</f>
        <v>283.68</v>
      </c>
    </row>
    <row r="12" spans="1:7" x14ac:dyDescent="0.25">
      <c r="A12" t="s">
        <v>13</v>
      </c>
    </row>
    <row r="13" spans="1:7" x14ac:dyDescent="0.25">
      <c r="B13" t="s">
        <v>14</v>
      </c>
      <c r="C13" t="s">
        <v>15</v>
      </c>
      <c r="D13" s="3">
        <v>5000</v>
      </c>
      <c r="E13" s="3">
        <v>5000</v>
      </c>
      <c r="F13" s="3">
        <v>5000</v>
      </c>
      <c r="G13" s="3">
        <v>5000</v>
      </c>
    </row>
    <row r="14" spans="1:7" x14ac:dyDescent="0.25">
      <c r="B14" t="s">
        <v>16</v>
      </c>
      <c r="C14" t="s">
        <v>18</v>
      </c>
      <c r="D14" s="3">
        <f>D6*D13/1000</f>
        <v>0</v>
      </c>
      <c r="E14" s="3">
        <f>E6*E13/1000</f>
        <v>0</v>
      </c>
      <c r="F14" s="3">
        <f>F6*F13/1000</f>
        <v>0</v>
      </c>
      <c r="G14" s="3">
        <f>G6*G13/1000</f>
        <v>0</v>
      </c>
    </row>
    <row r="15" spans="1:7" x14ac:dyDescent="0.25">
      <c r="B15" t="s">
        <v>17</v>
      </c>
      <c r="C15" t="s">
        <v>18</v>
      </c>
      <c r="D15" s="3">
        <f>D7*D13/1000</f>
        <v>600</v>
      </c>
      <c r="E15" s="3">
        <f>E7*E13/1000</f>
        <v>600</v>
      </c>
      <c r="F15" s="3">
        <f>F7*F13/1000</f>
        <v>600</v>
      </c>
      <c r="G15" s="3">
        <f>G7*G13/1000</f>
        <v>600</v>
      </c>
    </row>
    <row r="16" spans="1:7" x14ac:dyDescent="0.25">
      <c r="B16" t="s">
        <v>41</v>
      </c>
      <c r="C16" t="s">
        <v>18</v>
      </c>
      <c r="D16" s="3">
        <f>D13*D10/1000</f>
        <v>705.88235294117646</v>
      </c>
      <c r="E16" s="3">
        <f>E13*E10/1000</f>
        <v>750</v>
      </c>
      <c r="F16" s="3">
        <f>F13*F10/1000</f>
        <v>666.66666666666674</v>
      </c>
      <c r="G16" s="3">
        <f>G13*G10/1000</f>
        <v>705.88235294117646</v>
      </c>
    </row>
    <row r="17" spans="1:7" x14ac:dyDescent="0.25">
      <c r="B17" t="s">
        <v>42</v>
      </c>
      <c r="C17" t="s">
        <v>43</v>
      </c>
      <c r="D17" s="3">
        <f>D16*D11/1000</f>
        <v>240.39529411764704</v>
      </c>
      <c r="E17" s="3">
        <f>E16*E11/1000</f>
        <v>0</v>
      </c>
      <c r="F17" s="3">
        <f t="shared" ref="F17:G17" si="0">F16*F11/1000</f>
        <v>132.12000000000003</v>
      </c>
      <c r="G17" s="3">
        <f t="shared" si="0"/>
        <v>200.24470588235295</v>
      </c>
    </row>
    <row r="18" spans="1:7" x14ac:dyDescent="0.25">
      <c r="A18" t="s">
        <v>19</v>
      </c>
      <c r="D18" s="3"/>
      <c r="E18" s="3"/>
      <c r="F18" s="3"/>
      <c r="G18" s="3"/>
    </row>
    <row r="19" spans="1:7" x14ac:dyDescent="0.25">
      <c r="B19" t="s">
        <v>20</v>
      </c>
      <c r="C19" t="s">
        <v>22</v>
      </c>
      <c r="D19" s="3">
        <v>60</v>
      </c>
      <c r="E19" s="3">
        <v>60</v>
      </c>
      <c r="F19" s="3">
        <v>60</v>
      </c>
      <c r="G19" s="3">
        <v>60</v>
      </c>
    </row>
    <row r="20" spans="1:7" x14ac:dyDescent="0.25">
      <c r="B20" t="s">
        <v>21</v>
      </c>
      <c r="C20" t="s">
        <v>22</v>
      </c>
      <c r="D20" s="3">
        <v>40</v>
      </c>
      <c r="E20" s="3">
        <v>40</v>
      </c>
      <c r="F20" s="3">
        <v>40</v>
      </c>
      <c r="G20" s="3">
        <v>40</v>
      </c>
    </row>
    <row r="21" spans="1:7" x14ac:dyDescent="0.25">
      <c r="B21" t="s">
        <v>1</v>
      </c>
      <c r="C21" t="s">
        <v>22</v>
      </c>
      <c r="D21" s="3">
        <v>12</v>
      </c>
      <c r="E21" s="3">
        <v>18</v>
      </c>
      <c r="F21" s="3">
        <v>35</v>
      </c>
      <c r="G21" s="3">
        <v>35</v>
      </c>
    </row>
    <row r="22" spans="1:7" x14ac:dyDescent="0.25">
      <c r="B22" t="s">
        <v>39</v>
      </c>
      <c r="C22" t="s">
        <v>40</v>
      </c>
      <c r="D22" s="3">
        <v>10</v>
      </c>
      <c r="E22" s="3">
        <f>D22</f>
        <v>10</v>
      </c>
      <c r="F22" s="3">
        <f t="shared" ref="F22:G22" si="1">E22</f>
        <v>10</v>
      </c>
      <c r="G22" s="3">
        <f t="shared" si="1"/>
        <v>10</v>
      </c>
    </row>
    <row r="23" spans="1:7" x14ac:dyDescent="0.25">
      <c r="B23" t="s">
        <v>35</v>
      </c>
      <c r="C23" t="s">
        <v>22</v>
      </c>
      <c r="D23" s="2">
        <v>18.350000000000001</v>
      </c>
      <c r="E23" s="2">
        <v>0</v>
      </c>
      <c r="F23" s="2">
        <v>9.02</v>
      </c>
      <c r="G23" s="2">
        <v>16.46</v>
      </c>
    </row>
    <row r="24" spans="1:7" x14ac:dyDescent="0.25">
      <c r="B24" t="s">
        <v>27</v>
      </c>
      <c r="C24" t="s">
        <v>22</v>
      </c>
      <c r="D24" s="2">
        <v>10</v>
      </c>
      <c r="E24" s="2">
        <v>8</v>
      </c>
      <c r="F24" s="2">
        <v>5</v>
      </c>
      <c r="G24" s="2">
        <v>8</v>
      </c>
    </row>
    <row r="25" spans="1:7" x14ac:dyDescent="0.25">
      <c r="B25" t="s">
        <v>30</v>
      </c>
      <c r="C25" t="s">
        <v>31</v>
      </c>
      <c r="D25" s="3">
        <v>800</v>
      </c>
      <c r="E25" s="3">
        <v>800</v>
      </c>
      <c r="F25" s="3">
        <v>500</v>
      </c>
      <c r="G25" s="3">
        <v>500</v>
      </c>
    </row>
    <row r="26" spans="1:7" x14ac:dyDescent="0.25">
      <c r="A26" t="s">
        <v>23</v>
      </c>
      <c r="D26" s="3"/>
      <c r="E26" s="3"/>
      <c r="F26" s="3"/>
      <c r="G26" s="3"/>
    </row>
    <row r="27" spans="1:7" x14ac:dyDescent="0.25">
      <c r="B27" t="s">
        <v>20</v>
      </c>
      <c r="C27" t="s">
        <v>25</v>
      </c>
      <c r="D27" s="3">
        <f t="shared" ref="D27:G28" si="2">D14*D19</f>
        <v>0</v>
      </c>
      <c r="E27" s="3">
        <f t="shared" si="2"/>
        <v>0</v>
      </c>
      <c r="F27" s="3">
        <f t="shared" si="2"/>
        <v>0</v>
      </c>
      <c r="G27" s="3">
        <f t="shared" si="2"/>
        <v>0</v>
      </c>
    </row>
    <row r="28" spans="1:7" x14ac:dyDescent="0.25">
      <c r="B28" t="s">
        <v>24</v>
      </c>
      <c r="C28" t="s">
        <v>25</v>
      </c>
      <c r="D28" s="3">
        <f t="shared" si="2"/>
        <v>24000</v>
      </c>
      <c r="E28" s="3">
        <f t="shared" si="2"/>
        <v>24000</v>
      </c>
      <c r="F28" s="3">
        <f t="shared" si="2"/>
        <v>24000</v>
      </c>
      <c r="G28" s="3">
        <f t="shared" si="2"/>
        <v>24000</v>
      </c>
    </row>
    <row r="29" spans="1:7" x14ac:dyDescent="0.25">
      <c r="B29" t="s">
        <v>9</v>
      </c>
      <c r="C29" t="s">
        <v>25</v>
      </c>
      <c r="D29" s="3">
        <f>D27+D28</f>
        <v>24000</v>
      </c>
      <c r="E29" s="3">
        <f>E27+E28</f>
        <v>24000</v>
      </c>
      <c r="F29" s="3">
        <f>F27+F28</f>
        <v>24000</v>
      </c>
      <c r="G29" s="3">
        <f>G27+G28</f>
        <v>24000</v>
      </c>
    </row>
    <row r="30" spans="1:7" x14ac:dyDescent="0.25">
      <c r="A30" t="s">
        <v>26</v>
      </c>
      <c r="D30" s="3"/>
      <c r="E30" s="3"/>
      <c r="F30" s="3"/>
      <c r="G30" s="3"/>
    </row>
    <row r="31" spans="1:7" x14ac:dyDescent="0.25">
      <c r="B31" t="s">
        <v>1</v>
      </c>
      <c r="C31" t="s">
        <v>25</v>
      </c>
      <c r="D31" s="3">
        <f>D16*D21</f>
        <v>8470.5882352941171</v>
      </c>
      <c r="E31" s="3">
        <f>E16*E21</f>
        <v>13500</v>
      </c>
      <c r="F31" s="3">
        <f>F16*F21</f>
        <v>23333.333333333336</v>
      </c>
      <c r="G31" s="3">
        <f>G16*G21</f>
        <v>24705.882352941175</v>
      </c>
    </row>
    <row r="32" spans="1:7" x14ac:dyDescent="0.25">
      <c r="B32" t="s">
        <v>44</v>
      </c>
      <c r="C32" t="s">
        <v>25</v>
      </c>
      <c r="D32" s="3">
        <f>D17*D22</f>
        <v>2403.9529411764706</v>
      </c>
      <c r="E32" s="3">
        <f t="shared" ref="E32:G32" si="3">E17*E22</f>
        <v>0</v>
      </c>
      <c r="F32" s="3">
        <f t="shared" si="3"/>
        <v>1321.2000000000003</v>
      </c>
      <c r="G32" s="3">
        <f t="shared" si="3"/>
        <v>2002.4470588235295</v>
      </c>
    </row>
    <row r="33" spans="1:7" x14ac:dyDescent="0.25">
      <c r="B33" t="s">
        <v>35</v>
      </c>
      <c r="C33" t="s">
        <v>25</v>
      </c>
      <c r="D33" s="3">
        <f>D23*D15*0.9</f>
        <v>9909</v>
      </c>
      <c r="E33" s="3">
        <f t="shared" ref="E33:G33" si="4">E23*E15*0.9</f>
        <v>0</v>
      </c>
      <c r="F33" s="3">
        <f t="shared" si="4"/>
        <v>4870.8</v>
      </c>
      <c r="G33" s="3">
        <f t="shared" si="4"/>
        <v>8888.4</v>
      </c>
    </row>
    <row r="34" spans="1:7" x14ac:dyDescent="0.25">
      <c r="B34" t="s">
        <v>28</v>
      </c>
      <c r="C34" t="s">
        <v>25</v>
      </c>
      <c r="D34" s="3">
        <f>D24*D14</f>
        <v>0</v>
      </c>
      <c r="E34" s="3">
        <f>E24*E14</f>
        <v>0</v>
      </c>
      <c r="F34" s="3">
        <f>F24*F14</f>
        <v>0</v>
      </c>
      <c r="G34" s="3">
        <f>G24*G14</f>
        <v>0</v>
      </c>
    </row>
    <row r="35" spans="1:7" x14ac:dyDescent="0.25">
      <c r="B35" t="s">
        <v>9</v>
      </c>
      <c r="C35" t="s">
        <v>25</v>
      </c>
      <c r="D35" s="4">
        <f>SUM(D31:D34)</f>
        <v>20783.541176470586</v>
      </c>
      <c r="E35" s="4">
        <f>SUM(E31:E34)</f>
        <v>13500</v>
      </c>
      <c r="F35" s="4">
        <f>SUM(F31:F34)</f>
        <v>29525.333333333336</v>
      </c>
      <c r="G35" s="4">
        <f>SUM(G31:G34)</f>
        <v>35596.729411764703</v>
      </c>
    </row>
    <row r="36" spans="1:7" x14ac:dyDescent="0.25">
      <c r="B36" t="s">
        <v>56</v>
      </c>
      <c r="C36" t="s">
        <v>22</v>
      </c>
      <c r="D36" s="1">
        <f>D35/D15</f>
        <v>34.63923529411764</v>
      </c>
      <c r="E36" s="1">
        <f t="shared" ref="E36:G36" si="5">E35/E15</f>
        <v>22.5</v>
      </c>
      <c r="F36" s="1">
        <f t="shared" si="5"/>
        <v>49.208888888888893</v>
      </c>
      <c r="G36" s="1">
        <f t="shared" si="5"/>
        <v>59.327882352941174</v>
      </c>
    </row>
    <row r="37" spans="1:7" x14ac:dyDescent="0.25">
      <c r="A37" t="s">
        <v>29</v>
      </c>
      <c r="C37" t="s">
        <v>25</v>
      </c>
      <c r="D37" s="4">
        <f>D29-D35</f>
        <v>3216.4588235294141</v>
      </c>
      <c r="E37" s="4">
        <f>E29-E35</f>
        <v>10500</v>
      </c>
      <c r="F37" s="4">
        <f>F29-F35</f>
        <v>-5525.3333333333358</v>
      </c>
      <c r="G37" s="4">
        <f>G29-G35</f>
        <v>-11596.729411764703</v>
      </c>
    </row>
    <row r="38" spans="1:7" x14ac:dyDescent="0.25">
      <c r="A38" t="s">
        <v>30</v>
      </c>
      <c r="C38" t="s">
        <v>25</v>
      </c>
      <c r="D38" s="3">
        <f>D25*D7</f>
        <v>96000</v>
      </c>
      <c r="E38" s="3">
        <f t="shared" ref="E38:G38" si="6">E25*E7</f>
        <v>96000</v>
      </c>
      <c r="F38" s="3">
        <f t="shared" si="6"/>
        <v>60000</v>
      </c>
      <c r="G38" s="3">
        <f t="shared" si="6"/>
        <v>60000</v>
      </c>
    </row>
    <row r="39" spans="1:7" x14ac:dyDescent="0.25">
      <c r="A39" t="s">
        <v>32</v>
      </c>
      <c r="C39" t="s">
        <v>33</v>
      </c>
      <c r="D39" s="6">
        <f>D38/D37</f>
        <v>29.846488099810145</v>
      </c>
      <c r="E39" s="6">
        <f>E38/E37</f>
        <v>9.1428571428571423</v>
      </c>
      <c r="F39" s="6">
        <f>F38/F37</f>
        <v>-10.859073359073355</v>
      </c>
      <c r="G39" s="6">
        <f>G38/G37</f>
        <v>-5.1738725523017655</v>
      </c>
    </row>
    <row r="40" spans="1:7" x14ac:dyDescent="0.25">
      <c r="A40" t="s">
        <v>45</v>
      </c>
    </row>
    <row r="41" spans="1:7" x14ac:dyDescent="0.25">
      <c r="B41" t="s">
        <v>46</v>
      </c>
      <c r="C41" t="s">
        <v>33</v>
      </c>
      <c r="D41" s="5">
        <v>30</v>
      </c>
      <c r="E41" s="5">
        <v>30</v>
      </c>
      <c r="F41" s="5">
        <v>30</v>
      </c>
      <c r="G41" s="5">
        <v>30</v>
      </c>
    </row>
    <row r="42" spans="1:7" x14ac:dyDescent="0.25">
      <c r="B42" t="s">
        <v>47</v>
      </c>
      <c r="C42" t="s">
        <v>7</v>
      </c>
      <c r="D42" s="7">
        <v>0.05</v>
      </c>
      <c r="E42" s="7">
        <v>0.05</v>
      </c>
      <c r="F42" s="7">
        <v>0.05</v>
      </c>
      <c r="G42" s="7">
        <v>0.05</v>
      </c>
    </row>
    <row r="43" spans="1:7" x14ac:dyDescent="0.25">
      <c r="B43" t="s">
        <v>9</v>
      </c>
      <c r="C43" t="s">
        <v>25</v>
      </c>
      <c r="D43" s="3">
        <f>-PMT(D42,D41,D38)</f>
        <v>6244.9377677065522</v>
      </c>
      <c r="E43" s="3">
        <f>-PMT(E42,E41,E38)</f>
        <v>6244.9377677065522</v>
      </c>
      <c r="F43" s="3">
        <f t="shared" ref="F43:G43" si="7">-PMT(F42,F41,F38)</f>
        <v>3903.0861048165953</v>
      </c>
      <c r="G43" s="3">
        <f t="shared" si="7"/>
        <v>3903.0861048165953</v>
      </c>
    </row>
    <row r="44" spans="1:7" x14ac:dyDescent="0.25">
      <c r="C44" t="s">
        <v>22</v>
      </c>
      <c r="D44" s="1">
        <f>D43/D15</f>
        <v>10.408229612844254</v>
      </c>
      <c r="E44" s="1">
        <f t="shared" ref="E44:G44" si="8">E43/E15</f>
        <v>10.408229612844254</v>
      </c>
      <c r="F44" s="1">
        <f t="shared" si="8"/>
        <v>6.5051435080276585</v>
      </c>
      <c r="G44" s="1">
        <f t="shared" si="8"/>
        <v>6.5051435080276585</v>
      </c>
    </row>
    <row r="45" spans="1:7" x14ac:dyDescent="0.25">
      <c r="A45" t="s">
        <v>48</v>
      </c>
      <c r="C45" t="s">
        <v>25</v>
      </c>
      <c r="D45" s="4">
        <f>D35+D43</f>
        <v>27028.478944177139</v>
      </c>
      <c r="E45" s="4">
        <f t="shared" ref="E45:G45" si="9">E35+E43</f>
        <v>19744.937767706553</v>
      </c>
      <c r="F45" s="4">
        <f t="shared" si="9"/>
        <v>33428.419438149933</v>
      </c>
      <c r="G45" s="4">
        <f t="shared" si="9"/>
        <v>39499.8155165813</v>
      </c>
    </row>
    <row r="46" spans="1:7" x14ac:dyDescent="0.25">
      <c r="B46" t="s">
        <v>55</v>
      </c>
      <c r="C46" t="s">
        <v>22</v>
      </c>
      <c r="D46" s="1">
        <f>D45/D15</f>
        <v>45.047464906961899</v>
      </c>
      <c r="E46" s="1">
        <f t="shared" ref="E46:G46" si="10">E45/E15</f>
        <v>32.908229612844252</v>
      </c>
      <c r="F46" s="1">
        <f t="shared" si="10"/>
        <v>55.714032396916558</v>
      </c>
      <c r="G46" s="1">
        <f t="shared" si="10"/>
        <v>65.833025860968831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showGridLines="0" tabSelected="1" topLeftCell="C25" workbookViewId="0">
      <selection activeCell="P34" sqref="P34"/>
    </sheetView>
  </sheetViews>
  <sheetFormatPr defaultRowHeight="15" x14ac:dyDescent="0.25"/>
  <cols>
    <col min="1" max="1" width="1.85546875" style="8" customWidth="1"/>
    <col min="2" max="2" width="21" customWidth="1"/>
    <col min="4" max="4" width="11" customWidth="1"/>
    <col min="5" max="5" width="10.7109375" customWidth="1"/>
    <col min="6" max="6" width="10.5703125" customWidth="1"/>
    <col min="7" max="7" width="10.42578125" customWidth="1"/>
    <col min="8" max="8" width="10.28515625" customWidth="1"/>
    <col min="9" max="9" width="11.28515625" customWidth="1"/>
    <col min="12" max="12" width="14.7109375" customWidth="1"/>
    <col min="13" max="17" width="10.7109375" customWidth="1"/>
  </cols>
  <sheetData>
    <row r="1" spans="1:9" x14ac:dyDescent="0.25">
      <c r="A1" s="8" t="s">
        <v>0</v>
      </c>
      <c r="E1" t="s">
        <v>67</v>
      </c>
      <c r="H1" t="s">
        <v>62</v>
      </c>
    </row>
    <row r="3" spans="1:9" x14ac:dyDescent="0.25">
      <c r="A3" s="31"/>
      <c r="B3" s="34" t="s">
        <v>1</v>
      </c>
      <c r="C3" s="34"/>
      <c r="D3" s="49" t="s">
        <v>2</v>
      </c>
      <c r="E3" s="35" t="s">
        <v>51</v>
      </c>
      <c r="F3" s="35" t="s">
        <v>10</v>
      </c>
      <c r="G3" s="35" t="s">
        <v>10</v>
      </c>
      <c r="H3" s="36" t="s">
        <v>10</v>
      </c>
      <c r="I3" s="106" t="s">
        <v>51</v>
      </c>
    </row>
    <row r="4" spans="1:9" x14ac:dyDescent="0.25">
      <c r="A4" s="32"/>
      <c r="B4" s="19" t="s">
        <v>12</v>
      </c>
      <c r="C4" s="19"/>
      <c r="D4" s="69" t="s">
        <v>52</v>
      </c>
      <c r="E4" s="37" t="s">
        <v>52</v>
      </c>
      <c r="F4" s="37" t="s">
        <v>34</v>
      </c>
      <c r="G4" s="37" t="s">
        <v>49</v>
      </c>
      <c r="H4" s="38" t="s">
        <v>50</v>
      </c>
      <c r="I4" s="107" t="s">
        <v>81</v>
      </c>
    </row>
    <row r="5" spans="1:9" x14ac:dyDescent="0.25">
      <c r="A5" s="31" t="s">
        <v>11</v>
      </c>
      <c r="B5" s="9"/>
      <c r="C5" s="9"/>
      <c r="D5" s="70"/>
      <c r="E5" s="10"/>
      <c r="F5" s="10"/>
      <c r="G5" s="10"/>
      <c r="H5" s="24"/>
      <c r="I5" s="108"/>
    </row>
    <row r="6" spans="1:9" x14ac:dyDescent="0.25">
      <c r="A6" s="33"/>
      <c r="B6" s="14" t="s">
        <v>3</v>
      </c>
      <c r="C6" s="14" t="s">
        <v>4</v>
      </c>
      <c r="D6" s="54">
        <v>60</v>
      </c>
      <c r="E6" s="25">
        <v>60</v>
      </c>
      <c r="F6" s="25">
        <v>100</v>
      </c>
      <c r="G6" s="25">
        <v>50</v>
      </c>
      <c r="H6" s="26">
        <v>40</v>
      </c>
      <c r="I6" s="109"/>
    </row>
    <row r="7" spans="1:9" x14ac:dyDescent="0.25">
      <c r="A7" s="33"/>
      <c r="B7" s="14" t="s">
        <v>5</v>
      </c>
      <c r="C7" s="14" t="s">
        <v>4</v>
      </c>
      <c r="D7" s="54">
        <v>120</v>
      </c>
      <c r="E7" s="25">
        <v>120</v>
      </c>
      <c r="F7" s="25">
        <v>100</v>
      </c>
      <c r="G7" s="25">
        <v>50</v>
      </c>
      <c r="H7" s="26">
        <v>70</v>
      </c>
      <c r="I7" s="110">
        <v>60</v>
      </c>
    </row>
    <row r="8" spans="1:9" x14ac:dyDescent="0.25">
      <c r="A8" s="33"/>
      <c r="B8" s="14" t="s">
        <v>9</v>
      </c>
      <c r="C8" s="14" t="s">
        <v>4</v>
      </c>
      <c r="D8" s="54">
        <f t="shared" ref="D8:I8" si="0">D6+D7</f>
        <v>180</v>
      </c>
      <c r="E8" s="25">
        <f t="shared" si="0"/>
        <v>180</v>
      </c>
      <c r="F8" s="25">
        <f t="shared" si="0"/>
        <v>200</v>
      </c>
      <c r="G8" s="25">
        <f t="shared" si="0"/>
        <v>100</v>
      </c>
      <c r="H8" s="26">
        <f t="shared" si="0"/>
        <v>110</v>
      </c>
      <c r="I8" s="111">
        <f t="shared" si="0"/>
        <v>60</v>
      </c>
    </row>
    <row r="9" spans="1:9" x14ac:dyDescent="0.25">
      <c r="A9" s="33"/>
      <c r="B9" s="14" t="s">
        <v>6</v>
      </c>
      <c r="C9" s="14" t="s">
        <v>7</v>
      </c>
      <c r="D9" s="55">
        <v>0.85</v>
      </c>
      <c r="E9" s="27">
        <v>0.85</v>
      </c>
      <c r="F9" s="27">
        <v>0.85</v>
      </c>
      <c r="G9" s="27">
        <v>0.85</v>
      </c>
      <c r="H9" s="28">
        <v>0.85</v>
      </c>
      <c r="I9" s="112">
        <v>0.85</v>
      </c>
    </row>
    <row r="10" spans="1:9" x14ac:dyDescent="0.25">
      <c r="A10" s="33"/>
      <c r="B10" s="14" t="s">
        <v>8</v>
      </c>
      <c r="C10" s="14" t="s">
        <v>4</v>
      </c>
      <c r="D10" s="56">
        <f t="shared" ref="D10:I10" si="1">D8/D9</f>
        <v>211.76470588235296</v>
      </c>
      <c r="E10" s="15">
        <f t="shared" si="1"/>
        <v>211.76470588235296</v>
      </c>
      <c r="F10" s="15">
        <f t="shared" si="1"/>
        <v>235.29411764705884</v>
      </c>
      <c r="G10" s="15">
        <f t="shared" si="1"/>
        <v>117.64705882352942</v>
      </c>
      <c r="H10" s="16">
        <f t="shared" si="1"/>
        <v>129.41176470588235</v>
      </c>
      <c r="I10" s="97">
        <f t="shared" si="1"/>
        <v>70.588235294117652</v>
      </c>
    </row>
    <row r="11" spans="1:9" x14ac:dyDescent="0.25">
      <c r="A11" s="33"/>
      <c r="B11" s="14" t="s">
        <v>37</v>
      </c>
      <c r="C11" s="14" t="s">
        <v>38</v>
      </c>
      <c r="D11" s="56">
        <f>94.6*3.6</f>
        <v>340.56</v>
      </c>
      <c r="E11" s="15">
        <v>0</v>
      </c>
      <c r="F11" s="15">
        <f>55.05*3.6</f>
        <v>198.18</v>
      </c>
      <c r="G11" s="15">
        <f>55.05*3.6</f>
        <v>198.18</v>
      </c>
      <c r="H11" s="16">
        <f>55.05*3.6</f>
        <v>198.18</v>
      </c>
      <c r="I11" s="99">
        <f>55.05*3.6</f>
        <v>198.18</v>
      </c>
    </row>
    <row r="12" spans="1:9" x14ac:dyDescent="0.25">
      <c r="A12" s="31" t="s">
        <v>13</v>
      </c>
      <c r="B12" s="9"/>
      <c r="C12" s="9"/>
      <c r="D12" s="60"/>
      <c r="E12" s="9"/>
      <c r="F12" s="9"/>
      <c r="G12" s="9"/>
      <c r="H12" s="24"/>
      <c r="I12" s="24"/>
    </row>
    <row r="13" spans="1:9" x14ac:dyDescent="0.25">
      <c r="A13" s="33"/>
      <c r="B13" s="14" t="s">
        <v>14</v>
      </c>
      <c r="C13" s="14" t="s">
        <v>15</v>
      </c>
      <c r="D13" s="56">
        <v>5000</v>
      </c>
      <c r="E13" s="15">
        <v>5000</v>
      </c>
      <c r="F13" s="15">
        <v>5000</v>
      </c>
      <c r="G13" s="15">
        <v>5000</v>
      </c>
      <c r="H13" s="16">
        <v>5000</v>
      </c>
      <c r="I13" s="16">
        <v>5000</v>
      </c>
    </row>
    <row r="14" spans="1:9" x14ac:dyDescent="0.25">
      <c r="A14" s="33"/>
      <c r="B14" s="14" t="s">
        <v>16</v>
      </c>
      <c r="C14" s="14" t="s">
        <v>18</v>
      </c>
      <c r="D14" s="56">
        <f t="shared" ref="D14:I14" si="2">D6*D13/1000</f>
        <v>300</v>
      </c>
      <c r="E14" s="15">
        <f t="shared" si="2"/>
        <v>300</v>
      </c>
      <c r="F14" s="15">
        <f t="shared" si="2"/>
        <v>500</v>
      </c>
      <c r="G14" s="15">
        <f t="shared" si="2"/>
        <v>250</v>
      </c>
      <c r="H14" s="16">
        <f t="shared" si="2"/>
        <v>200</v>
      </c>
      <c r="I14" s="16">
        <f t="shared" si="2"/>
        <v>0</v>
      </c>
    </row>
    <row r="15" spans="1:9" x14ac:dyDescent="0.25">
      <c r="A15" s="33"/>
      <c r="B15" s="14" t="s">
        <v>17</v>
      </c>
      <c r="C15" s="14" t="s">
        <v>18</v>
      </c>
      <c r="D15" s="56">
        <f t="shared" ref="D15:I15" si="3">D7*D13/1000</f>
        <v>600</v>
      </c>
      <c r="E15" s="15">
        <f t="shared" si="3"/>
        <v>600</v>
      </c>
      <c r="F15" s="15">
        <f t="shared" si="3"/>
        <v>500</v>
      </c>
      <c r="G15" s="15">
        <f t="shared" si="3"/>
        <v>250</v>
      </c>
      <c r="H15" s="16">
        <f t="shared" si="3"/>
        <v>350</v>
      </c>
      <c r="I15" s="16">
        <f t="shared" si="3"/>
        <v>300</v>
      </c>
    </row>
    <row r="16" spans="1:9" x14ac:dyDescent="0.25">
      <c r="A16" s="33"/>
      <c r="B16" s="14" t="s">
        <v>63</v>
      </c>
      <c r="C16" s="9" t="s">
        <v>18</v>
      </c>
      <c r="D16" s="62">
        <f>D14+D15</f>
        <v>900</v>
      </c>
      <c r="E16" s="12">
        <f t="shared" ref="E16:H16" si="4">E14+E15</f>
        <v>900</v>
      </c>
      <c r="F16" s="12">
        <f t="shared" si="4"/>
        <v>1000</v>
      </c>
      <c r="G16" s="12">
        <f t="shared" si="4"/>
        <v>500</v>
      </c>
      <c r="H16" s="13">
        <f t="shared" si="4"/>
        <v>550</v>
      </c>
      <c r="I16" s="13">
        <f t="shared" ref="I16" si="5">I14+I15</f>
        <v>300</v>
      </c>
    </row>
    <row r="17" spans="1:17" x14ac:dyDescent="0.25">
      <c r="A17" s="33"/>
      <c r="B17" s="14" t="s">
        <v>41</v>
      </c>
      <c r="C17" s="14" t="s">
        <v>18</v>
      </c>
      <c r="D17" s="56">
        <f t="shared" ref="D17:I17" si="6">D13*D10/1000</f>
        <v>1058.8235294117649</v>
      </c>
      <c r="E17" s="15">
        <f t="shared" si="6"/>
        <v>1058.8235294117649</v>
      </c>
      <c r="F17" s="15">
        <f t="shared" si="6"/>
        <v>1176.4705882352941</v>
      </c>
      <c r="G17" s="15">
        <f t="shared" si="6"/>
        <v>588.23529411764707</v>
      </c>
      <c r="H17" s="16">
        <f t="shared" si="6"/>
        <v>647.05882352941171</v>
      </c>
      <c r="I17" s="16">
        <f t="shared" si="6"/>
        <v>352.94117647058823</v>
      </c>
    </row>
    <row r="18" spans="1:17" x14ac:dyDescent="0.25">
      <c r="A18" s="32"/>
      <c r="B18" s="11" t="s">
        <v>42</v>
      </c>
      <c r="C18" s="11" t="s">
        <v>43</v>
      </c>
      <c r="D18" s="61">
        <f>D17*D11/1000</f>
        <v>360.59294117647067</v>
      </c>
      <c r="E18" s="29">
        <f>E17*E11/1000</f>
        <v>0</v>
      </c>
      <c r="F18" s="29">
        <f t="shared" ref="F18:H18" si="7">F17*F11/1000</f>
        <v>233.15294117647059</v>
      </c>
      <c r="G18" s="29">
        <f t="shared" si="7"/>
        <v>116.5764705882353</v>
      </c>
      <c r="H18" s="30">
        <f t="shared" si="7"/>
        <v>128.23411764705881</v>
      </c>
      <c r="I18" s="30">
        <f t="shared" ref="I18" si="8">I17*I11/1000</f>
        <v>69.945882352941169</v>
      </c>
    </row>
    <row r="19" spans="1:17" x14ac:dyDescent="0.25">
      <c r="A19" s="31" t="s">
        <v>19</v>
      </c>
      <c r="B19" s="9"/>
      <c r="C19" s="9"/>
      <c r="D19" s="62"/>
      <c r="E19" s="12"/>
      <c r="F19" s="12"/>
      <c r="G19" s="12"/>
      <c r="H19" s="13"/>
      <c r="I19" s="96"/>
    </row>
    <row r="20" spans="1:17" x14ac:dyDescent="0.25">
      <c r="A20" s="33"/>
      <c r="B20" s="14" t="s">
        <v>20</v>
      </c>
      <c r="C20" s="14" t="s">
        <v>22</v>
      </c>
      <c r="D20" s="56">
        <v>60</v>
      </c>
      <c r="E20" s="15">
        <v>60</v>
      </c>
      <c r="F20" s="15">
        <v>60</v>
      </c>
      <c r="G20" s="15">
        <v>60</v>
      </c>
      <c r="H20" s="16">
        <v>60</v>
      </c>
      <c r="I20" s="97">
        <v>60</v>
      </c>
    </row>
    <row r="21" spans="1:17" x14ac:dyDescent="0.25">
      <c r="A21" s="33"/>
      <c r="B21" s="14" t="s">
        <v>21</v>
      </c>
      <c r="C21" s="14" t="s">
        <v>22</v>
      </c>
      <c r="D21" s="56">
        <v>40</v>
      </c>
      <c r="E21" s="15">
        <f>D21</f>
        <v>40</v>
      </c>
      <c r="F21" s="15">
        <f t="shared" ref="F21:I21" si="9">E21</f>
        <v>40</v>
      </c>
      <c r="G21" s="15">
        <f t="shared" si="9"/>
        <v>40</v>
      </c>
      <c r="H21" s="16">
        <f t="shared" si="9"/>
        <v>40</v>
      </c>
      <c r="I21" s="97">
        <f t="shared" si="9"/>
        <v>40</v>
      </c>
    </row>
    <row r="22" spans="1:17" x14ac:dyDescent="0.25">
      <c r="A22" s="33"/>
      <c r="B22" s="14" t="s">
        <v>1</v>
      </c>
      <c r="C22" s="14" t="s">
        <v>22</v>
      </c>
      <c r="D22" s="56">
        <v>12</v>
      </c>
      <c r="E22" s="15">
        <v>18</v>
      </c>
      <c r="F22" s="15">
        <v>35</v>
      </c>
      <c r="G22" s="15">
        <v>35</v>
      </c>
      <c r="H22" s="16">
        <v>35</v>
      </c>
      <c r="I22" s="97">
        <v>18</v>
      </c>
    </row>
    <row r="23" spans="1:17" x14ac:dyDescent="0.25">
      <c r="A23" s="33"/>
      <c r="B23" s="14" t="s">
        <v>39</v>
      </c>
      <c r="C23" s="14" t="s">
        <v>40</v>
      </c>
      <c r="D23" s="56">
        <v>20</v>
      </c>
      <c r="E23" s="15">
        <f>D23</f>
        <v>20</v>
      </c>
      <c r="F23" s="15">
        <f t="shared" ref="F23:H23" si="10">E23</f>
        <v>20</v>
      </c>
      <c r="G23" s="15">
        <f t="shared" si="10"/>
        <v>20</v>
      </c>
      <c r="H23" s="16">
        <f t="shared" si="10"/>
        <v>20</v>
      </c>
      <c r="I23" s="97">
        <f>H23</f>
        <v>20</v>
      </c>
    </row>
    <row r="24" spans="1:17" x14ac:dyDescent="0.25">
      <c r="A24" s="33"/>
      <c r="B24" s="14" t="s">
        <v>35</v>
      </c>
      <c r="C24" s="14" t="s">
        <v>22</v>
      </c>
      <c r="D24" s="82">
        <v>18.350000000000001</v>
      </c>
      <c r="E24" s="39">
        <v>0</v>
      </c>
      <c r="F24" s="39">
        <v>9.02</v>
      </c>
      <c r="G24" s="39">
        <v>9.02</v>
      </c>
      <c r="H24" s="40">
        <v>9.02</v>
      </c>
      <c r="I24" s="98">
        <v>0</v>
      </c>
    </row>
    <row r="25" spans="1:17" x14ac:dyDescent="0.25">
      <c r="A25" s="33"/>
      <c r="B25" s="14" t="s">
        <v>27</v>
      </c>
      <c r="C25" s="14" t="s">
        <v>22</v>
      </c>
      <c r="D25" s="82">
        <v>12</v>
      </c>
      <c r="E25" s="39">
        <v>10</v>
      </c>
      <c r="F25" s="39">
        <v>7</v>
      </c>
      <c r="G25" s="39">
        <v>7</v>
      </c>
      <c r="H25" s="40">
        <v>7</v>
      </c>
      <c r="I25" s="98">
        <v>10</v>
      </c>
    </row>
    <row r="26" spans="1:17" x14ac:dyDescent="0.25">
      <c r="A26" s="32"/>
      <c r="B26" s="11" t="s">
        <v>30</v>
      </c>
      <c r="C26" s="11" t="s">
        <v>31</v>
      </c>
      <c r="D26" s="61">
        <v>1800</v>
      </c>
      <c r="E26" s="29">
        <v>2000</v>
      </c>
      <c r="F26" s="29">
        <v>800</v>
      </c>
      <c r="G26" s="29">
        <v>800</v>
      </c>
      <c r="H26" s="30">
        <v>800</v>
      </c>
      <c r="I26" s="99">
        <v>800</v>
      </c>
    </row>
    <row r="27" spans="1:17" x14ac:dyDescent="0.25">
      <c r="A27" s="31" t="s">
        <v>23</v>
      </c>
      <c r="B27" s="9"/>
      <c r="C27" s="9"/>
      <c r="D27" s="62"/>
      <c r="E27" s="12"/>
      <c r="F27" s="12"/>
      <c r="G27" s="12"/>
      <c r="H27" s="13"/>
      <c r="I27" s="96"/>
    </row>
    <row r="28" spans="1:17" x14ac:dyDescent="0.25">
      <c r="A28" s="33"/>
      <c r="B28" s="14" t="s">
        <v>20</v>
      </c>
      <c r="C28" s="14" t="s">
        <v>25</v>
      </c>
      <c r="D28" s="56">
        <f t="shared" ref="D28:H29" si="11">D14*D20</f>
        <v>18000</v>
      </c>
      <c r="E28" s="15">
        <f t="shared" si="11"/>
        <v>18000</v>
      </c>
      <c r="F28" s="15">
        <f t="shared" si="11"/>
        <v>30000</v>
      </c>
      <c r="G28" s="15">
        <f>G14*G20</f>
        <v>15000</v>
      </c>
      <c r="H28" s="16">
        <f t="shared" si="11"/>
        <v>12000</v>
      </c>
      <c r="I28" s="97">
        <f t="shared" ref="I28" si="12">I14*I20</f>
        <v>0</v>
      </c>
    </row>
    <row r="29" spans="1:17" x14ac:dyDescent="0.25">
      <c r="A29" s="33"/>
      <c r="B29" s="14" t="s">
        <v>24</v>
      </c>
      <c r="C29" s="14" t="s">
        <v>25</v>
      </c>
      <c r="D29" s="56">
        <f t="shared" si="11"/>
        <v>24000</v>
      </c>
      <c r="E29" s="15">
        <f t="shared" si="11"/>
        <v>24000</v>
      </c>
      <c r="F29" s="15">
        <f t="shared" si="11"/>
        <v>20000</v>
      </c>
      <c r="G29" s="15">
        <f t="shared" si="11"/>
        <v>10000</v>
      </c>
      <c r="H29" s="16">
        <f t="shared" si="11"/>
        <v>14000</v>
      </c>
      <c r="I29" s="97">
        <f t="shared" ref="I29" si="13">I15*I21</f>
        <v>12000</v>
      </c>
    </row>
    <row r="30" spans="1:17" x14ac:dyDescent="0.25">
      <c r="A30" s="32"/>
      <c r="B30" s="11" t="s">
        <v>9</v>
      </c>
      <c r="C30" s="78" t="s">
        <v>25</v>
      </c>
      <c r="D30" s="87">
        <f t="shared" ref="D30:I30" si="14">D28+D29</f>
        <v>42000</v>
      </c>
      <c r="E30" s="88">
        <f t="shared" si="14"/>
        <v>42000</v>
      </c>
      <c r="F30" s="88">
        <f t="shared" si="14"/>
        <v>50000</v>
      </c>
      <c r="G30" s="88">
        <f t="shared" si="14"/>
        <v>25000</v>
      </c>
      <c r="H30" s="89">
        <f t="shared" si="14"/>
        <v>26000</v>
      </c>
      <c r="I30" s="100">
        <f t="shared" si="14"/>
        <v>12000</v>
      </c>
    </row>
    <row r="31" spans="1:17" x14ac:dyDescent="0.25">
      <c r="A31" s="33" t="s">
        <v>70</v>
      </c>
      <c r="B31" s="14"/>
      <c r="C31" s="14"/>
      <c r="D31" s="62"/>
      <c r="E31" s="12"/>
      <c r="F31" s="12"/>
      <c r="G31" s="12"/>
      <c r="H31" s="13"/>
      <c r="I31" s="96"/>
      <c r="L31" s="73" t="s">
        <v>1</v>
      </c>
      <c r="M31" s="49" t="s">
        <v>88</v>
      </c>
      <c r="N31" s="35" t="s">
        <v>2</v>
      </c>
      <c r="O31" s="35" t="s">
        <v>51</v>
      </c>
      <c r="P31" s="35" t="s">
        <v>10</v>
      </c>
      <c r="Q31" s="36" t="s">
        <v>91</v>
      </c>
    </row>
    <row r="32" spans="1:17" x14ac:dyDescent="0.25">
      <c r="A32" s="33"/>
      <c r="B32" s="14" t="s">
        <v>1</v>
      </c>
      <c r="C32" s="14" t="s">
        <v>25</v>
      </c>
      <c r="D32" s="56">
        <f t="shared" ref="D32:I32" si="15">D17*D22</f>
        <v>12705.882352941178</v>
      </c>
      <c r="E32" s="15">
        <f t="shared" si="15"/>
        <v>19058.823529411769</v>
      </c>
      <c r="F32" s="15">
        <f t="shared" si="15"/>
        <v>41176.470588235294</v>
      </c>
      <c r="G32" s="15">
        <f t="shared" si="15"/>
        <v>20588.235294117647</v>
      </c>
      <c r="H32" s="16">
        <f t="shared" si="15"/>
        <v>22647.058823529409</v>
      </c>
      <c r="I32" s="97">
        <f t="shared" si="15"/>
        <v>6352.9411764705883</v>
      </c>
      <c r="L32" s="69"/>
      <c r="M32" s="69" t="s">
        <v>22</v>
      </c>
      <c r="N32" s="37" t="s">
        <v>22</v>
      </c>
      <c r="O32" s="37" t="s">
        <v>22</v>
      </c>
      <c r="P32" s="37" t="s">
        <v>22</v>
      </c>
      <c r="Q32" s="38" t="s">
        <v>22</v>
      </c>
    </row>
    <row r="33" spans="1:17" x14ac:dyDescent="0.25">
      <c r="A33" s="33"/>
      <c r="B33" s="14" t="s">
        <v>44</v>
      </c>
      <c r="C33" s="14" t="s">
        <v>25</v>
      </c>
      <c r="D33" s="56">
        <f t="shared" ref="D33:I33" si="16">D23*D18</f>
        <v>7211.8588235294137</v>
      </c>
      <c r="E33" s="15">
        <f t="shared" si="16"/>
        <v>0</v>
      </c>
      <c r="F33" s="15">
        <f t="shared" si="16"/>
        <v>4663.0588235294117</v>
      </c>
      <c r="G33" s="15">
        <f t="shared" si="16"/>
        <v>2331.5294117647059</v>
      </c>
      <c r="H33" s="16">
        <f t="shared" si="16"/>
        <v>2564.6823529411763</v>
      </c>
      <c r="I33" s="97">
        <f t="shared" si="16"/>
        <v>1398.9176470588234</v>
      </c>
      <c r="L33" s="60" t="s">
        <v>86</v>
      </c>
      <c r="M33" s="119"/>
      <c r="N33" s="114"/>
      <c r="O33" s="114"/>
      <c r="P33" s="114"/>
      <c r="Q33" s="115"/>
    </row>
    <row r="34" spans="1:17" x14ac:dyDescent="0.25">
      <c r="A34" s="33"/>
      <c r="B34" s="14" t="s">
        <v>28</v>
      </c>
      <c r="C34" s="14" t="s">
        <v>25</v>
      </c>
      <c r="D34" s="56">
        <f t="shared" ref="D34:I34" si="17">D25*D14</f>
        <v>3600</v>
      </c>
      <c r="E34" s="15">
        <f t="shared" si="17"/>
        <v>3000</v>
      </c>
      <c r="F34" s="15">
        <f t="shared" si="17"/>
        <v>3500</v>
      </c>
      <c r="G34" s="15">
        <f t="shared" si="17"/>
        <v>1750</v>
      </c>
      <c r="H34" s="16">
        <f t="shared" si="17"/>
        <v>1400</v>
      </c>
      <c r="I34" s="97">
        <f t="shared" si="17"/>
        <v>0</v>
      </c>
      <c r="L34" s="52" t="s">
        <v>87</v>
      </c>
      <c r="M34" s="122">
        <f>Sähkö!E38</f>
        <v>53.852107444023332</v>
      </c>
      <c r="N34" s="116">
        <v>68.7</v>
      </c>
      <c r="O34" s="116"/>
      <c r="P34" s="116">
        <v>87.5</v>
      </c>
      <c r="Q34" s="124">
        <f>Sähkö!H38</f>
        <v>53.571474379537769</v>
      </c>
    </row>
    <row r="35" spans="1:17" x14ac:dyDescent="0.25">
      <c r="A35" s="33"/>
      <c r="B35" s="14" t="s">
        <v>9</v>
      </c>
      <c r="C35" s="9" t="s">
        <v>25</v>
      </c>
      <c r="D35" s="63">
        <f t="shared" ref="D35:I35" si="18">SUM(D32:D34)</f>
        <v>23517.74117647059</v>
      </c>
      <c r="E35" s="20">
        <f t="shared" si="18"/>
        <v>22058.823529411769</v>
      </c>
      <c r="F35" s="20">
        <f t="shared" si="18"/>
        <v>49339.529411764706</v>
      </c>
      <c r="G35" s="20">
        <f t="shared" si="18"/>
        <v>24669.764705882353</v>
      </c>
      <c r="H35" s="21">
        <f t="shared" si="18"/>
        <v>26611.741176470587</v>
      </c>
      <c r="I35" s="101">
        <f t="shared" si="18"/>
        <v>7751.8588235294119</v>
      </c>
      <c r="L35" s="52"/>
      <c r="M35" s="120"/>
      <c r="N35" s="116"/>
      <c r="O35" s="116"/>
      <c r="P35" s="116"/>
      <c r="Q35" s="75"/>
    </row>
    <row r="36" spans="1:17" x14ac:dyDescent="0.25">
      <c r="A36" s="33"/>
      <c r="B36" s="14" t="s">
        <v>35</v>
      </c>
      <c r="C36" s="14" t="s">
        <v>25</v>
      </c>
      <c r="D36" s="56">
        <f t="shared" ref="D36:I36" si="19">D24*D15*0.9</f>
        <v>9909</v>
      </c>
      <c r="E36" s="15">
        <f t="shared" si="19"/>
        <v>0</v>
      </c>
      <c r="F36" s="15">
        <f t="shared" si="19"/>
        <v>4059</v>
      </c>
      <c r="G36" s="15">
        <f t="shared" si="19"/>
        <v>2029.5</v>
      </c>
      <c r="H36" s="16">
        <f t="shared" si="19"/>
        <v>2841.3</v>
      </c>
      <c r="I36" s="97">
        <f t="shared" si="19"/>
        <v>0</v>
      </c>
      <c r="L36" s="52" t="s">
        <v>89</v>
      </c>
      <c r="M36" s="120"/>
      <c r="N36" s="116"/>
      <c r="O36" s="116"/>
      <c r="P36" s="116"/>
      <c r="Q36" s="75"/>
    </row>
    <row r="37" spans="1:17" x14ac:dyDescent="0.25">
      <c r="A37" s="33"/>
      <c r="B37" s="14" t="s">
        <v>20</v>
      </c>
      <c r="C37" s="41" t="s">
        <v>22</v>
      </c>
      <c r="D37" s="58">
        <f>D35/D16</f>
        <v>26.130823529411767</v>
      </c>
      <c r="E37" s="77">
        <f>E35/E16</f>
        <v>24.509803921568633</v>
      </c>
      <c r="F37" s="77">
        <f>F35/F16</f>
        <v>49.339529411764708</v>
      </c>
      <c r="G37" s="77">
        <f>G35/G16</f>
        <v>49.339529411764708</v>
      </c>
      <c r="H37" s="59">
        <f>H35/H16</f>
        <v>48.384983957219248</v>
      </c>
      <c r="I37" s="102"/>
      <c r="L37" s="113" t="s">
        <v>90</v>
      </c>
      <c r="M37" s="121"/>
      <c r="N37" s="123">
        <f>CHP!D44</f>
        <v>49.549340158311338</v>
      </c>
      <c r="O37" s="123">
        <f>E44</f>
        <v>50.530377953679263</v>
      </c>
      <c r="P37" s="117">
        <f>G44</f>
        <v>59.74775902460896</v>
      </c>
      <c r="Q37" s="118"/>
    </row>
    <row r="38" spans="1:17" x14ac:dyDescent="0.25">
      <c r="A38" s="33"/>
      <c r="B38" s="72" t="s">
        <v>24</v>
      </c>
      <c r="C38" s="41" t="s">
        <v>22</v>
      </c>
      <c r="D38" s="58">
        <f>D33/D15+D37</f>
        <v>38.150588235294123</v>
      </c>
      <c r="E38" s="77">
        <f>E33/E15+E37</f>
        <v>24.509803921568633</v>
      </c>
      <c r="F38" s="77">
        <f>F33/F15+F37</f>
        <v>58.665647058823531</v>
      </c>
      <c r="G38" s="77">
        <f>G33/G15+G37</f>
        <v>58.665647058823531</v>
      </c>
      <c r="H38" s="59">
        <f>H33/H15+H37</f>
        <v>55.712647822765469</v>
      </c>
      <c r="I38" s="102">
        <f>I35/I16</f>
        <v>25.839529411764705</v>
      </c>
    </row>
    <row r="39" spans="1:17" x14ac:dyDescent="0.25">
      <c r="A39" s="31" t="s">
        <v>29</v>
      </c>
      <c r="B39" s="34"/>
      <c r="C39" s="34" t="s">
        <v>25</v>
      </c>
      <c r="D39" s="84">
        <f>D30-D35-D36</f>
        <v>8573.2588235294097</v>
      </c>
      <c r="E39" s="85">
        <f t="shared" ref="E39:H39" si="20">E30-E35-E36</f>
        <v>19941.176470588231</v>
      </c>
      <c r="F39" s="85">
        <f t="shared" si="20"/>
        <v>-3398.5294117647063</v>
      </c>
      <c r="G39" s="85">
        <f t="shared" si="20"/>
        <v>-1699.2647058823532</v>
      </c>
      <c r="H39" s="86">
        <f t="shared" si="20"/>
        <v>-3453.0411764705868</v>
      </c>
      <c r="I39" s="103">
        <f t="shared" ref="I39" si="21">I30-I35-I36</f>
        <v>4248.1411764705881</v>
      </c>
    </row>
    <row r="40" spans="1:17" x14ac:dyDescent="0.25">
      <c r="A40" s="31" t="s">
        <v>30</v>
      </c>
      <c r="B40" s="9"/>
      <c r="C40" s="9" t="s">
        <v>25</v>
      </c>
      <c r="D40" s="57">
        <f>D26*D6</f>
        <v>108000</v>
      </c>
      <c r="E40" s="17">
        <f>E26*E6</f>
        <v>120000</v>
      </c>
      <c r="F40" s="17">
        <f>F26*F6</f>
        <v>80000</v>
      </c>
      <c r="G40" s="17">
        <f>G26*G6</f>
        <v>40000</v>
      </c>
      <c r="H40" s="18">
        <f>H26*H6</f>
        <v>32000</v>
      </c>
      <c r="I40" s="104">
        <f>I26*I8</f>
        <v>48000</v>
      </c>
    </row>
    <row r="41" spans="1:17" x14ac:dyDescent="0.25">
      <c r="A41" s="33"/>
      <c r="B41" s="48" t="s">
        <v>45</v>
      </c>
      <c r="C41" s="14" t="s">
        <v>25</v>
      </c>
      <c r="D41" s="56">
        <f t="shared" ref="D41:E41" si="22">-PMT(5%,30,D40)</f>
        <v>7025.5549886698709</v>
      </c>
      <c r="E41" s="15">
        <f t="shared" si="22"/>
        <v>7806.1722096331905</v>
      </c>
      <c r="F41" s="15">
        <f>-PMT(5%,30,F40)</f>
        <v>5204.114806422127</v>
      </c>
      <c r="G41" s="15">
        <f t="shared" ref="G41:I41" si="23">-PMT(5%,30,G40)</f>
        <v>2602.0574032110635</v>
      </c>
      <c r="H41" s="16">
        <f t="shared" si="23"/>
        <v>2081.6459225688504</v>
      </c>
      <c r="I41" s="97">
        <f t="shared" si="23"/>
        <v>3122.4688838532761</v>
      </c>
    </row>
    <row r="42" spans="1:17" x14ac:dyDescent="0.25">
      <c r="A42" s="32"/>
      <c r="B42" s="11" t="s">
        <v>69</v>
      </c>
      <c r="C42" s="19" t="s">
        <v>22</v>
      </c>
      <c r="D42" s="58">
        <f>D41/D14</f>
        <v>23.418516628899571</v>
      </c>
      <c r="E42" s="77">
        <f>E41/E14</f>
        <v>26.020574032110634</v>
      </c>
      <c r="F42" s="77">
        <f>F41/F14</f>
        <v>10.408229612844254</v>
      </c>
      <c r="G42" s="77">
        <f>G41/G14</f>
        <v>10.408229612844254</v>
      </c>
      <c r="H42" s="59">
        <f>H41/H14</f>
        <v>10.408229612844252</v>
      </c>
      <c r="I42" s="102">
        <f>I41/I15</f>
        <v>10.408229612844254</v>
      </c>
    </row>
    <row r="43" spans="1:17" x14ac:dyDescent="0.25">
      <c r="A43" s="33" t="s">
        <v>48</v>
      </c>
      <c r="B43" s="14"/>
      <c r="C43" s="41" t="s">
        <v>25</v>
      </c>
      <c r="D43" s="83">
        <f t="shared" ref="D43:I43" si="24">D35+D41</f>
        <v>30543.296165140462</v>
      </c>
      <c r="E43" s="46">
        <f t="shared" si="24"/>
        <v>29864.99573904496</v>
      </c>
      <c r="F43" s="46">
        <f t="shared" si="24"/>
        <v>54543.644218186833</v>
      </c>
      <c r="G43" s="46">
        <f t="shared" si="24"/>
        <v>27271.822109093417</v>
      </c>
      <c r="H43" s="47">
        <f t="shared" si="24"/>
        <v>28693.387099039435</v>
      </c>
      <c r="I43" s="47">
        <f t="shared" si="24"/>
        <v>10874.327707382688</v>
      </c>
    </row>
    <row r="44" spans="1:17" x14ac:dyDescent="0.25">
      <c r="A44" s="33"/>
      <c r="B44" s="41" t="s">
        <v>20</v>
      </c>
      <c r="C44" s="41" t="s">
        <v>22</v>
      </c>
      <c r="D44" s="186">
        <f>D37+D42</f>
        <v>49.549340158311338</v>
      </c>
      <c r="E44" s="128">
        <f t="shared" ref="E44:H44" si="25">E37+E42</f>
        <v>50.530377953679263</v>
      </c>
      <c r="F44" s="128">
        <f t="shared" si="25"/>
        <v>59.74775902460896</v>
      </c>
      <c r="G44" s="128">
        <f t="shared" si="25"/>
        <v>59.74775902460896</v>
      </c>
      <c r="H44" s="187">
        <f t="shared" si="25"/>
        <v>58.7932135700635</v>
      </c>
      <c r="I44" s="92"/>
    </row>
    <row r="45" spans="1:17" x14ac:dyDescent="0.25">
      <c r="A45" s="33"/>
      <c r="B45" s="41" t="s">
        <v>24</v>
      </c>
      <c r="C45" s="41" t="s">
        <v>22</v>
      </c>
      <c r="D45" s="65">
        <f>D38</f>
        <v>38.150588235294123</v>
      </c>
      <c r="E45" s="44">
        <f t="shared" ref="E45:H45" si="26">E38</f>
        <v>24.509803921568633</v>
      </c>
      <c r="F45" s="44">
        <f t="shared" si="26"/>
        <v>58.665647058823531</v>
      </c>
      <c r="G45" s="44">
        <f t="shared" si="26"/>
        <v>58.665647058823531</v>
      </c>
      <c r="H45" s="45">
        <f t="shared" si="26"/>
        <v>55.712647822765469</v>
      </c>
      <c r="I45" s="95">
        <f>I38+I42</f>
        <v>36.24775902460896</v>
      </c>
    </row>
    <row r="46" spans="1:17" x14ac:dyDescent="0.25">
      <c r="A46" s="79" t="s">
        <v>32</v>
      </c>
      <c r="B46" s="78"/>
      <c r="C46" s="80" t="s">
        <v>33</v>
      </c>
      <c r="D46" s="71">
        <f t="shared" ref="D46:I46" si="27">D40/D39</f>
        <v>12.597310103783725</v>
      </c>
      <c r="E46" s="42">
        <f t="shared" si="27"/>
        <v>6.0176991150442491</v>
      </c>
      <c r="F46" s="42">
        <f t="shared" si="27"/>
        <v>-23.539593249675463</v>
      </c>
      <c r="G46" s="42">
        <f t="shared" si="27"/>
        <v>-23.539593249675463</v>
      </c>
      <c r="H46" s="43">
        <f t="shared" si="27"/>
        <v>-9.2671932840105171</v>
      </c>
      <c r="I46" s="105">
        <f t="shared" si="27"/>
        <v>11.299059519457645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opLeftCell="A16" workbookViewId="0">
      <selection activeCell="J41" sqref="J41"/>
    </sheetView>
  </sheetViews>
  <sheetFormatPr defaultRowHeight="15" x14ac:dyDescent="0.25"/>
  <cols>
    <col min="1" max="1" width="2" customWidth="1"/>
    <col min="2" max="2" width="21" customWidth="1"/>
    <col min="3" max="3" width="7.28515625" customWidth="1"/>
    <col min="4" max="4" width="13.7109375" customWidth="1"/>
    <col min="5" max="5" width="13.140625" customWidth="1"/>
    <col min="6" max="6" width="13.85546875" customWidth="1"/>
    <col min="7" max="7" width="12.7109375" style="8" customWidth="1"/>
    <col min="8" max="8" width="12.85546875" customWidth="1"/>
  </cols>
  <sheetData>
    <row r="1" spans="1:8" x14ac:dyDescent="0.25">
      <c r="A1" s="8" t="s">
        <v>0</v>
      </c>
      <c r="E1" s="8" t="s">
        <v>65</v>
      </c>
    </row>
    <row r="2" spans="1:8" x14ac:dyDescent="0.25">
      <c r="A2" s="8"/>
    </row>
    <row r="3" spans="1:8" x14ac:dyDescent="0.25">
      <c r="A3" s="31"/>
      <c r="B3" s="34" t="s">
        <v>1</v>
      </c>
      <c r="C3" s="34"/>
      <c r="D3" s="49" t="s">
        <v>79</v>
      </c>
      <c r="E3" s="73" t="s">
        <v>78</v>
      </c>
      <c r="F3" s="35"/>
      <c r="G3" s="68"/>
      <c r="H3" t="s">
        <v>77</v>
      </c>
    </row>
    <row r="4" spans="1:8" x14ac:dyDescent="0.25">
      <c r="A4" s="32"/>
      <c r="B4" s="19" t="s">
        <v>12</v>
      </c>
      <c r="C4" s="19"/>
      <c r="D4" s="69" t="s">
        <v>80</v>
      </c>
      <c r="E4" s="69" t="s">
        <v>75</v>
      </c>
      <c r="F4" s="37" t="s">
        <v>76</v>
      </c>
      <c r="G4" s="38" t="s">
        <v>9</v>
      </c>
    </row>
    <row r="5" spans="1:8" x14ac:dyDescent="0.25">
      <c r="A5" s="31" t="s">
        <v>11</v>
      </c>
      <c r="B5" s="9"/>
      <c r="C5" s="9"/>
      <c r="D5" s="70"/>
      <c r="E5" s="54"/>
      <c r="F5" s="25"/>
      <c r="G5" s="168"/>
    </row>
    <row r="6" spans="1:8" x14ac:dyDescent="0.25">
      <c r="A6" s="33"/>
      <c r="B6" s="14" t="s">
        <v>3</v>
      </c>
      <c r="C6" s="14" t="s">
        <v>4</v>
      </c>
      <c r="D6" s="54">
        <v>1100</v>
      </c>
      <c r="E6" s="54">
        <v>1100</v>
      </c>
      <c r="F6" s="25">
        <f>E6*0.7</f>
        <v>770</v>
      </c>
      <c r="G6" s="163">
        <f>E6</f>
        <v>1100</v>
      </c>
    </row>
    <row r="7" spans="1:8" x14ac:dyDescent="0.25">
      <c r="A7" s="33"/>
      <c r="B7" s="14" t="s">
        <v>5</v>
      </c>
      <c r="C7" s="14" t="s">
        <v>4</v>
      </c>
      <c r="D7" s="54"/>
      <c r="E7" s="54"/>
      <c r="F7" s="25">
        <v>1200</v>
      </c>
      <c r="G7" s="164">
        <f>F7</f>
        <v>1200</v>
      </c>
    </row>
    <row r="8" spans="1:8" x14ac:dyDescent="0.25">
      <c r="A8" s="33"/>
      <c r="B8" s="14" t="s">
        <v>9</v>
      </c>
      <c r="C8" s="14" t="s">
        <v>4</v>
      </c>
      <c r="D8" s="54">
        <f t="shared" ref="D8:G8" si="0">D6+D7</f>
        <v>1100</v>
      </c>
      <c r="E8" s="54">
        <f t="shared" si="0"/>
        <v>1100</v>
      </c>
      <c r="F8" s="25">
        <f t="shared" si="0"/>
        <v>1970</v>
      </c>
      <c r="G8" s="165">
        <f t="shared" si="0"/>
        <v>2300</v>
      </c>
    </row>
    <row r="9" spans="1:8" x14ac:dyDescent="0.25">
      <c r="A9" s="33"/>
      <c r="B9" s="14" t="s">
        <v>6</v>
      </c>
      <c r="C9" s="14" t="s">
        <v>7</v>
      </c>
      <c r="D9" s="55">
        <v>0.35</v>
      </c>
      <c r="E9" s="55">
        <v>0.35</v>
      </c>
      <c r="F9" s="27">
        <f>F8/F10</f>
        <v>0.62681818181818172</v>
      </c>
      <c r="G9" s="164"/>
    </row>
    <row r="10" spans="1:8" x14ac:dyDescent="0.25">
      <c r="A10" s="33"/>
      <c r="B10" s="14" t="s">
        <v>8</v>
      </c>
      <c r="C10" s="14" t="s">
        <v>4</v>
      </c>
      <c r="D10" s="56">
        <f>D8/D9</f>
        <v>3142.8571428571431</v>
      </c>
      <c r="E10" s="56">
        <f>E8/E9</f>
        <v>3142.8571428571431</v>
      </c>
      <c r="F10" s="15">
        <f>E10</f>
        <v>3142.8571428571431</v>
      </c>
      <c r="G10" s="164">
        <v>4286</v>
      </c>
    </row>
    <row r="11" spans="1:8" x14ac:dyDescent="0.25">
      <c r="A11" s="31" t="s">
        <v>13</v>
      </c>
      <c r="B11" s="9"/>
      <c r="C11" s="9"/>
      <c r="D11" s="60"/>
      <c r="E11" s="60"/>
      <c r="F11" s="9"/>
      <c r="G11" s="162"/>
    </row>
    <row r="12" spans="1:8" x14ac:dyDescent="0.25">
      <c r="A12" s="33"/>
      <c r="B12" s="14" t="s">
        <v>14</v>
      </c>
      <c r="C12" s="14" t="s">
        <v>15</v>
      </c>
      <c r="D12" s="56">
        <v>7500</v>
      </c>
      <c r="E12" s="56">
        <v>2500</v>
      </c>
      <c r="F12" s="15">
        <v>5000</v>
      </c>
      <c r="G12" s="166">
        <f>SUM(E12:F12)</f>
        <v>7500</v>
      </c>
    </row>
    <row r="13" spans="1:8" x14ac:dyDescent="0.25">
      <c r="A13" s="33"/>
      <c r="B13" s="14" t="s">
        <v>16</v>
      </c>
      <c r="C13" s="14" t="s">
        <v>18</v>
      </c>
      <c r="D13" s="56">
        <f>D6*D12/1000</f>
        <v>8250</v>
      </c>
      <c r="E13" s="56">
        <f>E6*E12/1000</f>
        <v>2750</v>
      </c>
      <c r="F13" s="15">
        <f>F6*F12/1000</f>
        <v>3850</v>
      </c>
      <c r="G13" s="166">
        <f t="shared" ref="G13:G15" si="1">SUM(E13:F13)</f>
        <v>6600</v>
      </c>
    </row>
    <row r="14" spans="1:8" x14ac:dyDescent="0.25">
      <c r="A14" s="33"/>
      <c r="B14" s="14" t="s">
        <v>17</v>
      </c>
      <c r="C14" s="14" t="s">
        <v>18</v>
      </c>
      <c r="D14" s="56">
        <f>D7*D12/1000</f>
        <v>0</v>
      </c>
      <c r="E14" s="56">
        <f>E7*E12/1000</f>
        <v>0</v>
      </c>
      <c r="F14" s="15">
        <f>F7*F12/1000</f>
        <v>6000</v>
      </c>
      <c r="G14" s="166">
        <f t="shared" si="1"/>
        <v>6000</v>
      </c>
    </row>
    <row r="15" spans="1:8" x14ac:dyDescent="0.25">
      <c r="A15" s="32"/>
      <c r="B15" s="11" t="s">
        <v>41</v>
      </c>
      <c r="C15" s="11" t="s">
        <v>18</v>
      </c>
      <c r="D15" s="61">
        <f>D12*D10/1000</f>
        <v>23571.428571428576</v>
      </c>
      <c r="E15" s="56">
        <f>E12*E10/1000</f>
        <v>7857.1428571428578</v>
      </c>
      <c r="F15" s="15">
        <f>F12*F10/1000</f>
        <v>15714.285714285716</v>
      </c>
      <c r="G15" s="166">
        <f t="shared" si="1"/>
        <v>23571.428571428572</v>
      </c>
    </row>
    <row r="16" spans="1:8" x14ac:dyDescent="0.25">
      <c r="A16" s="33" t="s">
        <v>19</v>
      </c>
      <c r="B16" s="14"/>
      <c r="C16" s="14"/>
      <c r="D16" s="56"/>
      <c r="E16" s="62"/>
      <c r="F16" s="12"/>
      <c r="G16" s="162"/>
    </row>
    <row r="17" spans="1:8" x14ac:dyDescent="0.25">
      <c r="A17" s="33"/>
      <c r="B17" s="14" t="s">
        <v>20</v>
      </c>
      <c r="C17" s="14" t="s">
        <v>22</v>
      </c>
      <c r="D17" s="56">
        <v>60</v>
      </c>
      <c r="E17" s="56">
        <v>60</v>
      </c>
      <c r="F17" s="15">
        <v>60</v>
      </c>
      <c r="G17" s="166"/>
    </row>
    <row r="18" spans="1:8" x14ac:dyDescent="0.25">
      <c r="A18" s="33"/>
      <c r="B18" s="14" t="s">
        <v>21</v>
      </c>
      <c r="C18" s="14" t="s">
        <v>22</v>
      </c>
      <c r="D18" s="56">
        <v>40</v>
      </c>
      <c r="E18" s="56">
        <v>40</v>
      </c>
      <c r="F18" s="15">
        <v>40</v>
      </c>
      <c r="G18" s="165"/>
    </row>
    <row r="19" spans="1:8" x14ac:dyDescent="0.25">
      <c r="A19" s="33"/>
      <c r="B19" s="14" t="s">
        <v>1</v>
      </c>
      <c r="C19" s="14" t="s">
        <v>22</v>
      </c>
      <c r="D19" s="82">
        <v>2.5</v>
      </c>
      <c r="E19" s="82">
        <f>D19</f>
        <v>2.5</v>
      </c>
      <c r="F19" s="39">
        <f t="shared" ref="F19" si="2">E19</f>
        <v>2.5</v>
      </c>
      <c r="G19" s="102"/>
    </row>
    <row r="20" spans="1:8" x14ac:dyDescent="0.25">
      <c r="A20" s="33"/>
      <c r="B20" s="14" t="s">
        <v>27</v>
      </c>
      <c r="C20" s="14" t="s">
        <v>22</v>
      </c>
      <c r="D20" s="56">
        <v>8</v>
      </c>
      <c r="E20" s="56">
        <v>8</v>
      </c>
      <c r="F20" s="15">
        <v>12</v>
      </c>
      <c r="G20" s="166"/>
    </row>
    <row r="21" spans="1:8" x14ac:dyDescent="0.25">
      <c r="A21" s="33"/>
      <c r="B21" s="14" t="s">
        <v>71</v>
      </c>
      <c r="C21" s="14" t="s">
        <v>74</v>
      </c>
      <c r="D21" s="56">
        <v>5000</v>
      </c>
      <c r="E21" s="56">
        <v>5200</v>
      </c>
      <c r="F21" s="15"/>
      <c r="G21" s="166"/>
    </row>
    <row r="22" spans="1:8" x14ac:dyDescent="0.25">
      <c r="A22" s="33"/>
      <c r="B22" s="72" t="s">
        <v>72</v>
      </c>
      <c r="C22" s="14" t="s">
        <v>73</v>
      </c>
      <c r="D22" s="56"/>
      <c r="E22" s="61"/>
      <c r="F22" s="176">
        <v>1000</v>
      </c>
      <c r="G22" s="184"/>
    </row>
    <row r="23" spans="1:8" x14ac:dyDescent="0.25">
      <c r="A23" s="31" t="s">
        <v>23</v>
      </c>
      <c r="B23" s="9"/>
      <c r="C23" s="9"/>
      <c r="D23" s="62"/>
      <c r="E23" s="56"/>
      <c r="F23" s="15"/>
      <c r="G23" s="168"/>
    </row>
    <row r="24" spans="1:8" x14ac:dyDescent="0.25">
      <c r="A24" s="33"/>
      <c r="B24" s="14" t="s">
        <v>20</v>
      </c>
      <c r="C24" s="14" t="s">
        <v>25</v>
      </c>
      <c r="D24" s="56">
        <f t="shared" ref="D24:F25" si="3">D13*D17</f>
        <v>495000</v>
      </c>
      <c r="E24" s="56">
        <f t="shared" si="3"/>
        <v>165000</v>
      </c>
      <c r="F24" s="15">
        <f t="shared" si="3"/>
        <v>231000</v>
      </c>
      <c r="G24" s="166">
        <f>SUM(E24:F24)</f>
        <v>396000</v>
      </c>
    </row>
    <row r="25" spans="1:8" x14ac:dyDescent="0.25">
      <c r="A25" s="33"/>
      <c r="B25" s="14" t="s">
        <v>24</v>
      </c>
      <c r="C25" s="14" t="s">
        <v>25</v>
      </c>
      <c r="D25" s="56">
        <f t="shared" si="3"/>
        <v>0</v>
      </c>
      <c r="E25" s="56">
        <f t="shared" si="3"/>
        <v>0</v>
      </c>
      <c r="F25" s="15">
        <f t="shared" si="3"/>
        <v>240000</v>
      </c>
      <c r="G25" s="166">
        <f t="shared" ref="G25:G26" si="4">SUM(E25:F25)</f>
        <v>240000</v>
      </c>
    </row>
    <row r="26" spans="1:8" x14ac:dyDescent="0.25">
      <c r="A26" s="32"/>
      <c r="B26" s="11" t="s">
        <v>9</v>
      </c>
      <c r="C26" s="11" t="s">
        <v>25</v>
      </c>
      <c r="D26" s="180">
        <f t="shared" ref="D26:F26" si="5">D24+D25</f>
        <v>495000</v>
      </c>
      <c r="E26" s="180">
        <f t="shared" si="5"/>
        <v>165000</v>
      </c>
      <c r="F26" s="181">
        <f t="shared" si="5"/>
        <v>471000</v>
      </c>
      <c r="G26" s="103">
        <f t="shared" si="4"/>
        <v>636000</v>
      </c>
      <c r="H26" s="4">
        <f>G26-D26</f>
        <v>141000</v>
      </c>
    </row>
    <row r="27" spans="1:8" x14ac:dyDescent="0.25">
      <c r="A27" s="31" t="s">
        <v>64</v>
      </c>
      <c r="B27" s="9"/>
      <c r="C27" s="9"/>
      <c r="D27" s="62"/>
      <c r="E27" s="62"/>
      <c r="F27" s="12"/>
      <c r="G27" s="162"/>
    </row>
    <row r="28" spans="1:8" x14ac:dyDescent="0.25">
      <c r="A28" s="33"/>
      <c r="B28" s="14" t="s">
        <v>1</v>
      </c>
      <c r="C28" s="14" t="s">
        <v>25</v>
      </c>
      <c r="D28" s="56">
        <f>D15*D19</f>
        <v>58928.571428571442</v>
      </c>
      <c r="E28" s="56">
        <f>E15*E19</f>
        <v>19642.857142857145</v>
      </c>
      <c r="F28" s="15">
        <f>F15*F19</f>
        <v>39285.71428571429</v>
      </c>
      <c r="G28" s="166">
        <f>E28+F28</f>
        <v>58928.571428571435</v>
      </c>
    </row>
    <row r="29" spans="1:8" x14ac:dyDescent="0.25">
      <c r="A29" s="33"/>
      <c r="B29" s="14" t="s">
        <v>28</v>
      </c>
      <c r="C29" s="14" t="s">
        <v>25</v>
      </c>
      <c r="D29" s="56">
        <f>D20*D13</f>
        <v>66000</v>
      </c>
      <c r="E29" s="61">
        <f>E20*E13</f>
        <v>22000</v>
      </c>
      <c r="F29" s="29">
        <f>F20*F13</f>
        <v>46200</v>
      </c>
      <c r="G29" s="167">
        <f t="shared" ref="G29:G30" si="6">E29+F29</f>
        <v>68200</v>
      </c>
    </row>
    <row r="30" spans="1:8" x14ac:dyDescent="0.25">
      <c r="A30" s="33"/>
      <c r="B30" s="14" t="s">
        <v>9</v>
      </c>
      <c r="C30" s="14" t="s">
        <v>25</v>
      </c>
      <c r="D30" s="63">
        <f>SUM(D28:D29)</f>
        <v>124928.57142857145</v>
      </c>
      <c r="E30" s="57">
        <f>E28+E29</f>
        <v>41642.857142857145</v>
      </c>
      <c r="F30" s="17">
        <f>F28+F29</f>
        <v>85485.71428571429</v>
      </c>
      <c r="G30" s="166">
        <f t="shared" si="6"/>
        <v>127128.57142857143</v>
      </c>
      <c r="H30" s="4">
        <f>G30-D30</f>
        <v>2199.9999999999854</v>
      </c>
    </row>
    <row r="31" spans="1:8" x14ac:dyDescent="0.25">
      <c r="A31" s="32"/>
      <c r="B31" s="11"/>
      <c r="C31" s="19" t="s">
        <v>22</v>
      </c>
      <c r="D31" s="65">
        <f>D30/D13</f>
        <v>15.142857142857146</v>
      </c>
      <c r="E31" s="65"/>
      <c r="F31" s="44"/>
      <c r="G31" s="161">
        <f>G30/G13</f>
        <v>19.261904761904763</v>
      </c>
    </row>
    <row r="32" spans="1:8" x14ac:dyDescent="0.25">
      <c r="A32" s="31" t="s">
        <v>29</v>
      </c>
      <c r="B32" s="9"/>
      <c r="C32" s="9" t="s">
        <v>25</v>
      </c>
      <c r="D32" s="63">
        <f>D26-D30</f>
        <v>370071.42857142852</v>
      </c>
      <c r="E32" s="57"/>
      <c r="F32" s="17"/>
      <c r="G32" s="166">
        <f>G26-G30</f>
        <v>508871.42857142858</v>
      </c>
      <c r="H32" s="4">
        <f>G32-D32</f>
        <v>138800.00000000006</v>
      </c>
    </row>
    <row r="33" spans="1:8" x14ac:dyDescent="0.25">
      <c r="A33" s="31" t="s">
        <v>30</v>
      </c>
      <c r="B33" s="9"/>
      <c r="C33" s="9"/>
      <c r="D33" s="63"/>
      <c r="E33" s="63"/>
      <c r="F33" s="20"/>
      <c r="G33" s="169"/>
    </row>
    <row r="34" spans="1:8" x14ac:dyDescent="0.25">
      <c r="A34" s="52"/>
      <c r="B34" s="48" t="s">
        <v>71</v>
      </c>
      <c r="C34" s="14"/>
      <c r="D34" s="57">
        <f>D6*D21</f>
        <v>5500000</v>
      </c>
      <c r="E34" s="57">
        <f>E6*E21</f>
        <v>5720000</v>
      </c>
      <c r="F34" s="17"/>
      <c r="G34" s="166">
        <f>E34+F34</f>
        <v>5720000</v>
      </c>
    </row>
    <row r="35" spans="1:8" x14ac:dyDescent="0.25">
      <c r="A35" s="52"/>
      <c r="B35" s="48" t="s">
        <v>72</v>
      </c>
      <c r="C35" s="14"/>
      <c r="D35" s="57">
        <f>D7*D22</f>
        <v>0</v>
      </c>
      <c r="E35" s="57"/>
      <c r="F35" s="17">
        <f>F22*F7</f>
        <v>1200000</v>
      </c>
      <c r="G35" s="166">
        <f>E35+F35</f>
        <v>1200000</v>
      </c>
    </row>
    <row r="36" spans="1:8" x14ac:dyDescent="0.25">
      <c r="A36" s="52"/>
      <c r="B36" s="14" t="s">
        <v>9</v>
      </c>
      <c r="C36" s="14" t="s">
        <v>25</v>
      </c>
      <c r="D36" s="83">
        <f>SUM(D34:D35)</f>
        <v>5500000</v>
      </c>
      <c r="E36" s="63">
        <f>E34+E35</f>
        <v>5720000</v>
      </c>
      <c r="F36" s="20">
        <f>F34+F35</f>
        <v>1200000</v>
      </c>
      <c r="G36" s="169">
        <f>SUM(G34:G35)</f>
        <v>6920000</v>
      </c>
      <c r="H36" s="4">
        <f>G36-D36</f>
        <v>1420000</v>
      </c>
    </row>
    <row r="37" spans="1:8" x14ac:dyDescent="0.25">
      <c r="A37" s="33"/>
      <c r="B37" s="41" t="s">
        <v>45</v>
      </c>
      <c r="C37" s="14" t="s">
        <v>25</v>
      </c>
      <c r="D37" s="138">
        <f>-PMT(5%,40,D36)</f>
        <v>320529.88641319249</v>
      </c>
      <c r="E37" s="56"/>
      <c r="F37" s="15"/>
      <c r="G37" s="164">
        <f>-PMT(5%,40,G36)</f>
        <v>403284.87526896218</v>
      </c>
    </row>
    <row r="38" spans="1:8" x14ac:dyDescent="0.25">
      <c r="A38" s="32"/>
      <c r="B38" s="11" t="s">
        <v>142</v>
      </c>
      <c r="C38" s="11" t="s">
        <v>22</v>
      </c>
      <c r="D38" s="182">
        <f>D37/D13</f>
        <v>38.852107444023332</v>
      </c>
      <c r="E38" s="64"/>
      <c r="F38" s="22"/>
      <c r="G38" s="185">
        <f>G37/G13</f>
        <v>61.103768980145787</v>
      </c>
    </row>
    <row r="39" spans="1:8" x14ac:dyDescent="0.25">
      <c r="A39" s="33" t="s">
        <v>48</v>
      </c>
      <c r="B39" s="14"/>
      <c r="C39" s="14" t="s">
        <v>25</v>
      </c>
      <c r="D39" s="57">
        <f>D30+D37</f>
        <v>445458.45784176397</v>
      </c>
      <c r="E39" s="57"/>
      <c r="F39" s="17"/>
      <c r="G39" s="166">
        <f t="shared" ref="G39" si="7">G30+G37</f>
        <v>530413.4466975336</v>
      </c>
    </row>
    <row r="40" spans="1:8" x14ac:dyDescent="0.25">
      <c r="A40" s="33"/>
      <c r="B40" s="14" t="s">
        <v>53</v>
      </c>
      <c r="C40" s="14" t="s">
        <v>25</v>
      </c>
      <c r="D40" s="57">
        <f>D25</f>
        <v>0</v>
      </c>
      <c r="E40" s="57"/>
      <c r="F40" s="17"/>
      <c r="G40" s="166">
        <f>G25</f>
        <v>240000</v>
      </c>
    </row>
    <row r="41" spans="1:8" x14ac:dyDescent="0.25">
      <c r="A41" s="33"/>
      <c r="B41" s="14" t="s">
        <v>54</v>
      </c>
      <c r="C41" s="14" t="s">
        <v>25</v>
      </c>
      <c r="D41" s="57">
        <f>D39-D40</f>
        <v>445458.45784176397</v>
      </c>
      <c r="E41" s="57"/>
      <c r="F41" s="17"/>
      <c r="G41" s="166">
        <f>G39-G40</f>
        <v>290413.4466975336</v>
      </c>
    </row>
    <row r="42" spans="1:8" x14ac:dyDescent="0.25">
      <c r="A42" s="32"/>
      <c r="B42" s="11"/>
      <c r="C42" s="19" t="s">
        <v>22</v>
      </c>
      <c r="D42" s="65">
        <f>D41/D13</f>
        <v>53.994964586880478</v>
      </c>
      <c r="E42" s="65"/>
      <c r="F42" s="44"/>
      <c r="G42" s="161">
        <f>G41/G13</f>
        <v>44.00203737841418</v>
      </c>
    </row>
    <row r="43" spans="1:8" x14ac:dyDescent="0.25">
      <c r="A43" s="32" t="s">
        <v>32</v>
      </c>
      <c r="B43" s="11"/>
      <c r="C43" s="19" t="s">
        <v>33</v>
      </c>
      <c r="D43" s="71">
        <f>D36/D32</f>
        <v>14.861995753715501</v>
      </c>
      <c r="E43" s="71"/>
      <c r="F43" s="42"/>
      <c r="G43" s="105">
        <f t="shared" ref="G43:H43" si="8">G36/G32</f>
        <v>13.598719856264562</v>
      </c>
      <c r="H43" s="43">
        <f t="shared" si="8"/>
        <v>10.230547550432272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workbookViewId="0">
      <selection activeCell="E49" sqref="E49"/>
    </sheetView>
  </sheetViews>
  <sheetFormatPr defaultRowHeight="15" x14ac:dyDescent="0.25"/>
  <cols>
    <col min="1" max="1" width="2.85546875" customWidth="1"/>
    <col min="2" max="2" width="18.5703125" customWidth="1"/>
    <col min="3" max="3" width="7.85546875" customWidth="1"/>
    <col min="4" max="9" width="13.42578125" customWidth="1"/>
    <col min="10" max="10" width="15.140625" style="3" bestFit="1" customWidth="1"/>
  </cols>
  <sheetData>
    <row r="1" spans="1:10" x14ac:dyDescent="0.25">
      <c r="A1" s="8" t="s">
        <v>0</v>
      </c>
      <c r="E1" s="8" t="s">
        <v>65</v>
      </c>
    </row>
    <row r="2" spans="1:10" x14ac:dyDescent="0.25">
      <c r="A2" s="8"/>
    </row>
    <row r="3" spans="1:10" x14ac:dyDescent="0.25">
      <c r="A3" s="31"/>
      <c r="B3" s="34" t="s">
        <v>1</v>
      </c>
      <c r="C3" s="34"/>
      <c r="D3" s="158" t="s">
        <v>79</v>
      </c>
      <c r="E3" s="157" t="s">
        <v>78</v>
      </c>
      <c r="F3" s="35"/>
      <c r="G3" s="35"/>
      <c r="H3" s="68"/>
      <c r="I3" t="s">
        <v>77</v>
      </c>
    </row>
    <row r="4" spans="1:10" x14ac:dyDescent="0.25">
      <c r="A4" s="33"/>
      <c r="B4" s="41" t="s">
        <v>12</v>
      </c>
      <c r="C4" s="41"/>
      <c r="D4" s="159" t="s">
        <v>132</v>
      </c>
      <c r="E4" s="74" t="s">
        <v>130</v>
      </c>
      <c r="F4" s="74" t="s">
        <v>128</v>
      </c>
      <c r="G4" s="74" t="s">
        <v>58</v>
      </c>
      <c r="H4" s="51" t="s">
        <v>9</v>
      </c>
    </row>
    <row r="5" spans="1:10" x14ac:dyDescent="0.25">
      <c r="A5" s="32"/>
      <c r="B5" s="19"/>
      <c r="C5" s="19"/>
      <c r="D5" s="160" t="s">
        <v>133</v>
      </c>
      <c r="E5" s="74" t="s">
        <v>129</v>
      </c>
      <c r="F5" s="74" t="s">
        <v>129</v>
      </c>
      <c r="G5" s="74" t="s">
        <v>126</v>
      </c>
      <c r="H5" s="51"/>
      <c r="J5" s="3" t="s">
        <v>9</v>
      </c>
    </row>
    <row r="6" spans="1:10" x14ac:dyDescent="0.25">
      <c r="A6" s="33" t="s">
        <v>11</v>
      </c>
      <c r="B6" s="14"/>
      <c r="C6" s="14"/>
      <c r="D6" s="54"/>
      <c r="E6" s="70"/>
      <c r="F6" s="10"/>
      <c r="G6" s="10"/>
      <c r="H6" s="162"/>
    </row>
    <row r="7" spans="1:10" x14ac:dyDescent="0.25">
      <c r="A7" s="33"/>
      <c r="B7" s="14" t="s">
        <v>3</v>
      </c>
      <c r="C7" s="14" t="s">
        <v>4</v>
      </c>
      <c r="D7" s="54">
        <v>1100</v>
      </c>
      <c r="E7" s="54">
        <v>1100</v>
      </c>
      <c r="F7" s="25">
        <f>E7*0.8</f>
        <v>880</v>
      </c>
      <c r="G7" s="183">
        <f>-G8/3.3</f>
        <v>-181.81818181818184</v>
      </c>
      <c r="H7" s="163">
        <f>E7</f>
        <v>1100</v>
      </c>
      <c r="J7" s="3">
        <v>1500</v>
      </c>
    </row>
    <row r="8" spans="1:10" x14ac:dyDescent="0.25">
      <c r="A8" s="33"/>
      <c r="B8" s="14" t="s">
        <v>5</v>
      </c>
      <c r="C8" s="14" t="s">
        <v>4</v>
      </c>
      <c r="D8" s="54"/>
      <c r="E8" s="54"/>
      <c r="F8" s="25">
        <v>600</v>
      </c>
      <c r="G8" s="25">
        <v>600</v>
      </c>
      <c r="H8" s="164">
        <f>F8+G8</f>
        <v>1200</v>
      </c>
      <c r="J8" s="3">
        <v>1200</v>
      </c>
    </row>
    <row r="9" spans="1:10" x14ac:dyDescent="0.25">
      <c r="A9" s="33"/>
      <c r="B9" s="14" t="s">
        <v>9</v>
      </c>
      <c r="C9" s="14" t="s">
        <v>4</v>
      </c>
      <c r="D9" s="54">
        <f t="shared" ref="D9:H9" si="0">D7+D8</f>
        <v>1100</v>
      </c>
      <c r="E9" s="54">
        <f t="shared" si="0"/>
        <v>1100</v>
      </c>
      <c r="F9" s="25">
        <f t="shared" si="0"/>
        <v>1480</v>
      </c>
      <c r="G9" s="25"/>
      <c r="H9" s="165">
        <f t="shared" si="0"/>
        <v>2300</v>
      </c>
      <c r="J9" s="3">
        <v>2700</v>
      </c>
    </row>
    <row r="10" spans="1:10" x14ac:dyDescent="0.25">
      <c r="A10" s="33"/>
      <c r="B10" s="14" t="s">
        <v>6</v>
      </c>
      <c r="C10" s="14" t="s">
        <v>7</v>
      </c>
      <c r="D10" s="55">
        <v>0.35</v>
      </c>
      <c r="E10" s="55">
        <v>0.35</v>
      </c>
      <c r="F10" s="27">
        <f>F9/F11</f>
        <v>0.47090909090909089</v>
      </c>
      <c r="G10" s="27"/>
      <c r="H10" s="164"/>
    </row>
    <row r="11" spans="1:10" x14ac:dyDescent="0.25">
      <c r="A11" s="33"/>
      <c r="B11" s="14" t="s">
        <v>8</v>
      </c>
      <c r="C11" s="14" t="s">
        <v>4</v>
      </c>
      <c r="D11" s="56">
        <f>D9/D10</f>
        <v>3142.8571428571431</v>
      </c>
      <c r="E11" s="56">
        <f>E9/E10</f>
        <v>3142.8571428571431</v>
      </c>
      <c r="F11" s="15">
        <f>E11</f>
        <v>3142.8571428571431</v>
      </c>
      <c r="G11" s="15"/>
      <c r="H11" s="164">
        <f>E11</f>
        <v>3142.8571428571431</v>
      </c>
      <c r="J11" s="3">
        <v>4286</v>
      </c>
    </row>
    <row r="12" spans="1:10" x14ac:dyDescent="0.25">
      <c r="A12" s="31" t="s">
        <v>13</v>
      </c>
      <c r="B12" s="9"/>
      <c r="C12" s="9"/>
      <c r="D12" s="60"/>
      <c r="E12" s="60"/>
      <c r="F12" s="9"/>
      <c r="G12" s="9"/>
      <c r="H12" s="162"/>
    </row>
    <row r="13" spans="1:10" x14ac:dyDescent="0.25">
      <c r="A13" s="33"/>
      <c r="B13" s="14" t="s">
        <v>14</v>
      </c>
      <c r="C13" s="14" t="s">
        <v>15</v>
      </c>
      <c r="D13" s="56">
        <v>7500</v>
      </c>
      <c r="E13" s="56">
        <v>2500</v>
      </c>
      <c r="F13" s="15">
        <v>5000</v>
      </c>
      <c r="G13" s="15">
        <v>8000</v>
      </c>
      <c r="H13" s="166">
        <f>SUM(E13:F13)</f>
        <v>7500</v>
      </c>
      <c r="J13" s="3">
        <v>7500</v>
      </c>
    </row>
    <row r="14" spans="1:10" x14ac:dyDescent="0.25">
      <c r="A14" s="33"/>
      <c r="B14" s="14" t="s">
        <v>16</v>
      </c>
      <c r="C14" s="14" t="s">
        <v>18</v>
      </c>
      <c r="D14" s="56">
        <f>D7*D13/1000</f>
        <v>8250</v>
      </c>
      <c r="E14" s="56">
        <f>E7*E13/1000</f>
        <v>2750</v>
      </c>
      <c r="F14" s="15">
        <f>F7*F13/1000</f>
        <v>4400</v>
      </c>
      <c r="G14" s="116">
        <f>G7*G13/1000</f>
        <v>-1454.5454545454547</v>
      </c>
      <c r="H14" s="166">
        <f>SUM(E14:G14)</f>
        <v>5695.454545454545</v>
      </c>
      <c r="I14" s="4">
        <f>H14-D14</f>
        <v>-2554.545454545455</v>
      </c>
      <c r="J14" s="3">
        <v>9250</v>
      </c>
    </row>
    <row r="15" spans="1:10" x14ac:dyDescent="0.25">
      <c r="A15" s="33"/>
      <c r="B15" s="14" t="s">
        <v>17</v>
      </c>
      <c r="C15" s="14" t="s">
        <v>18</v>
      </c>
      <c r="D15" s="56">
        <f>D8*D13/1000</f>
        <v>0</v>
      </c>
      <c r="E15" s="56">
        <f>E8*E13/1000</f>
        <v>0</v>
      </c>
      <c r="F15" s="15">
        <f>F8*F13/1000</f>
        <v>3000</v>
      </c>
      <c r="G15" s="15">
        <f>G8*G13/1000</f>
        <v>4800</v>
      </c>
      <c r="H15" s="166">
        <f t="shared" ref="H15:H16" si="1">SUM(E15:G15)</f>
        <v>7800</v>
      </c>
      <c r="J15" s="3">
        <v>6000</v>
      </c>
    </row>
    <row r="16" spans="1:10" x14ac:dyDescent="0.25">
      <c r="A16" s="32"/>
      <c r="B16" s="11" t="s">
        <v>41</v>
      </c>
      <c r="C16" s="11" t="s">
        <v>18</v>
      </c>
      <c r="D16" s="61">
        <f>D13*D11/1000</f>
        <v>23571.428571428576</v>
      </c>
      <c r="E16" s="61">
        <f>E13*E11/1000</f>
        <v>7857.1428571428578</v>
      </c>
      <c r="F16" s="29">
        <f>F13*F11/1000</f>
        <v>15714.285714285716</v>
      </c>
      <c r="G16" s="29">
        <f>G13*G11/1000</f>
        <v>0</v>
      </c>
      <c r="H16" s="167">
        <f t="shared" si="1"/>
        <v>23571.428571428572</v>
      </c>
      <c r="J16" s="3">
        <v>32142.857142857145</v>
      </c>
    </row>
    <row r="17" spans="1:10" x14ac:dyDescent="0.25">
      <c r="A17" s="33" t="s">
        <v>19</v>
      </c>
      <c r="B17" s="14"/>
      <c r="C17" s="14"/>
      <c r="D17" s="56"/>
      <c r="E17" s="56"/>
      <c r="F17" s="15"/>
      <c r="G17" s="15"/>
      <c r="H17" s="168"/>
    </row>
    <row r="18" spans="1:10" x14ac:dyDescent="0.25">
      <c r="A18" s="33"/>
      <c r="B18" s="14" t="s">
        <v>20</v>
      </c>
      <c r="C18" s="14" t="s">
        <v>22</v>
      </c>
      <c r="D18" s="56">
        <v>60</v>
      </c>
      <c r="E18" s="56">
        <v>60</v>
      </c>
      <c r="F18" s="15">
        <v>60</v>
      </c>
      <c r="G18" s="15">
        <v>60</v>
      </c>
      <c r="H18" s="166">
        <f>F18</f>
        <v>60</v>
      </c>
      <c r="J18" s="3">
        <v>60</v>
      </c>
    </row>
    <row r="19" spans="1:10" x14ac:dyDescent="0.25">
      <c r="A19" s="33"/>
      <c r="B19" s="14" t="s">
        <v>21</v>
      </c>
      <c r="C19" s="14" t="s">
        <v>22</v>
      </c>
      <c r="D19" s="56">
        <v>40</v>
      </c>
      <c r="E19" s="56">
        <v>40</v>
      </c>
      <c r="F19" s="15">
        <v>40</v>
      </c>
      <c r="G19" s="15">
        <v>40</v>
      </c>
      <c r="H19" s="165">
        <v>40</v>
      </c>
      <c r="J19" s="3">
        <v>40</v>
      </c>
    </row>
    <row r="20" spans="1:10" x14ac:dyDescent="0.25">
      <c r="A20" s="33"/>
      <c r="B20" s="14" t="s">
        <v>1</v>
      </c>
      <c r="C20" s="14" t="s">
        <v>22</v>
      </c>
      <c r="D20" s="82">
        <v>2.5</v>
      </c>
      <c r="E20" s="82">
        <v>2.5</v>
      </c>
      <c r="F20" s="39">
        <v>2.5</v>
      </c>
      <c r="G20" s="39">
        <v>2.5</v>
      </c>
      <c r="H20" s="177">
        <f t="shared" ref="H20" si="2">F20</f>
        <v>2.5</v>
      </c>
      <c r="J20" s="3">
        <v>4</v>
      </c>
    </row>
    <row r="21" spans="1:10" x14ac:dyDescent="0.25">
      <c r="A21" s="33"/>
      <c r="B21" s="14" t="s">
        <v>27</v>
      </c>
      <c r="C21" s="14" t="s">
        <v>22</v>
      </c>
      <c r="D21" s="56">
        <v>8</v>
      </c>
      <c r="E21" s="56">
        <v>8</v>
      </c>
      <c r="F21" s="15">
        <v>12</v>
      </c>
      <c r="G21" s="178">
        <v>0.02</v>
      </c>
      <c r="H21" s="166">
        <v>11</v>
      </c>
      <c r="J21" s="3">
        <v>11</v>
      </c>
    </row>
    <row r="22" spans="1:10" x14ac:dyDescent="0.25">
      <c r="A22" s="33"/>
      <c r="B22" s="14" t="s">
        <v>71</v>
      </c>
      <c r="C22" s="14" t="s">
        <v>74</v>
      </c>
      <c r="D22" s="56">
        <v>5000</v>
      </c>
      <c r="E22" s="56">
        <v>5200</v>
      </c>
      <c r="F22" s="15"/>
      <c r="G22" s="15"/>
      <c r="H22" s="166">
        <v>3600</v>
      </c>
      <c r="J22" s="3">
        <v>3600</v>
      </c>
    </row>
    <row r="23" spans="1:10" x14ac:dyDescent="0.25">
      <c r="A23" s="33"/>
      <c r="B23" s="72" t="s">
        <v>72</v>
      </c>
      <c r="C23" s="14" t="s">
        <v>73</v>
      </c>
      <c r="D23" s="56"/>
      <c r="E23" s="61"/>
      <c r="F23" s="29">
        <v>600</v>
      </c>
      <c r="G23" s="29"/>
      <c r="H23" s="167">
        <v>1000</v>
      </c>
      <c r="J23" s="3">
        <v>1000</v>
      </c>
    </row>
    <row r="24" spans="1:10" x14ac:dyDescent="0.25">
      <c r="A24" s="31" t="s">
        <v>23</v>
      </c>
      <c r="B24" s="9"/>
      <c r="C24" s="9"/>
      <c r="D24" s="62"/>
      <c r="E24" s="56"/>
      <c r="F24" s="15"/>
      <c r="G24" s="15"/>
      <c r="H24" s="168"/>
    </row>
    <row r="25" spans="1:10" x14ac:dyDescent="0.25">
      <c r="A25" s="33"/>
      <c r="B25" s="14" t="s">
        <v>20</v>
      </c>
      <c r="C25" s="14" t="s">
        <v>25</v>
      </c>
      <c r="D25" s="56">
        <f t="shared" ref="D25:F26" si="3">D14*D18</f>
        <v>495000</v>
      </c>
      <c r="E25" s="56">
        <f t="shared" si="3"/>
        <v>165000</v>
      </c>
      <c r="F25" s="15">
        <f t="shared" si="3"/>
        <v>264000</v>
      </c>
      <c r="G25" s="15">
        <f t="shared" ref="G25" si="4">G14*G18</f>
        <v>-87272.727272727279</v>
      </c>
      <c r="H25" s="166">
        <f>SUM(E25:G25)</f>
        <v>341727.27272727271</v>
      </c>
      <c r="I25" s="4">
        <f t="shared" ref="I25:I26" si="5">H25-D25</f>
        <v>-153272.72727272729</v>
      </c>
      <c r="J25" s="3">
        <v>555000</v>
      </c>
    </row>
    <row r="26" spans="1:10" x14ac:dyDescent="0.25">
      <c r="A26" s="33"/>
      <c r="B26" s="14" t="s">
        <v>24</v>
      </c>
      <c r="C26" s="14" t="s">
        <v>25</v>
      </c>
      <c r="D26" s="56">
        <f t="shared" si="3"/>
        <v>0</v>
      </c>
      <c r="E26" s="56">
        <f t="shared" si="3"/>
        <v>0</v>
      </c>
      <c r="F26" s="15">
        <f t="shared" si="3"/>
        <v>120000</v>
      </c>
      <c r="G26" s="15">
        <f t="shared" ref="G26" si="6">G15*G19</f>
        <v>192000</v>
      </c>
      <c r="H26" s="166">
        <f t="shared" ref="H26:H27" si="7">SUM(E26:G26)</f>
        <v>312000</v>
      </c>
      <c r="I26" s="4">
        <f t="shared" si="5"/>
        <v>312000</v>
      </c>
      <c r="J26" s="3">
        <v>240000</v>
      </c>
    </row>
    <row r="27" spans="1:10" x14ac:dyDescent="0.25">
      <c r="A27" s="32"/>
      <c r="B27" s="11" t="s">
        <v>9</v>
      </c>
      <c r="C27" s="11" t="s">
        <v>25</v>
      </c>
      <c r="D27" s="180">
        <f t="shared" ref="D27:F27" si="8">D25+D26</f>
        <v>495000</v>
      </c>
      <c r="E27" s="62">
        <f t="shared" si="8"/>
        <v>165000</v>
      </c>
      <c r="F27" s="12">
        <f t="shared" si="8"/>
        <v>384000</v>
      </c>
      <c r="G27" s="12">
        <f t="shared" ref="G27" si="9">G25+G26</f>
        <v>104727.27272727272</v>
      </c>
      <c r="H27" s="103">
        <f t="shared" si="7"/>
        <v>653727.27272727271</v>
      </c>
      <c r="I27" s="4">
        <f>H27-D27</f>
        <v>158727.27272727271</v>
      </c>
      <c r="J27" s="3">
        <v>795000</v>
      </c>
    </row>
    <row r="28" spans="1:10" x14ac:dyDescent="0.25">
      <c r="A28" s="31" t="s">
        <v>64</v>
      </c>
      <c r="B28" s="9"/>
      <c r="C28" s="9"/>
      <c r="D28" s="62"/>
      <c r="E28" s="62"/>
      <c r="F28" s="12"/>
      <c r="G28" s="13"/>
      <c r="H28" s="179"/>
    </row>
    <row r="29" spans="1:10" x14ac:dyDescent="0.25">
      <c r="A29" s="33"/>
      <c r="B29" s="14" t="s">
        <v>1</v>
      </c>
      <c r="C29" s="14" t="s">
        <v>25</v>
      </c>
      <c r="D29" s="56">
        <f>D16*D20</f>
        <v>58928.571428571442</v>
      </c>
      <c r="E29" s="56">
        <f>E16*E20</f>
        <v>19642.857142857145</v>
      </c>
      <c r="F29" s="15">
        <f>F16*F20</f>
        <v>39285.71428571429</v>
      </c>
      <c r="G29" s="16"/>
      <c r="H29" s="134">
        <f>SUM(E29:G29)</f>
        <v>58928.571428571435</v>
      </c>
      <c r="J29" s="3">
        <v>128571.42857142858</v>
      </c>
    </row>
    <row r="30" spans="1:10" x14ac:dyDescent="0.25">
      <c r="A30" s="33"/>
      <c r="B30" s="14" t="s">
        <v>28</v>
      </c>
      <c r="C30" s="14" t="s">
        <v>25</v>
      </c>
      <c r="D30" s="56">
        <f>D21*D14</f>
        <v>66000</v>
      </c>
      <c r="E30" s="61">
        <f>E14*E21</f>
        <v>22000</v>
      </c>
      <c r="F30" s="29">
        <f>F14*F21</f>
        <v>52800</v>
      </c>
      <c r="G30" s="30">
        <f>G38*0.02</f>
        <v>12000</v>
      </c>
      <c r="H30" s="134">
        <f>SUM(E30:G30)</f>
        <v>86800</v>
      </c>
      <c r="J30" s="3">
        <v>123750</v>
      </c>
    </row>
    <row r="31" spans="1:10" x14ac:dyDescent="0.25">
      <c r="A31" s="33"/>
      <c r="B31" s="14" t="s">
        <v>9</v>
      </c>
      <c r="C31" s="14" t="s">
        <v>25</v>
      </c>
      <c r="D31" s="63">
        <f>SUM(D29:D30)</f>
        <v>124928.57142857145</v>
      </c>
      <c r="E31" s="57">
        <f>E29+E30</f>
        <v>41642.857142857145</v>
      </c>
      <c r="F31" s="17">
        <f t="shared" ref="F31:G31" si="10">F29+F30</f>
        <v>92085.71428571429</v>
      </c>
      <c r="G31" s="18">
        <f t="shared" si="10"/>
        <v>12000</v>
      </c>
      <c r="H31" s="47">
        <f>SUM(H29:H30)</f>
        <v>145728.57142857142</v>
      </c>
      <c r="I31" s="4">
        <f>H31-D31</f>
        <v>20799.999999999971</v>
      </c>
      <c r="J31" s="3">
        <v>252321.42857142858</v>
      </c>
    </row>
    <row r="32" spans="1:10" x14ac:dyDescent="0.25">
      <c r="A32" s="32"/>
      <c r="B32" s="11"/>
      <c r="C32" s="19" t="s">
        <v>22</v>
      </c>
      <c r="D32" s="65">
        <f>D31/D14</f>
        <v>15.142857142857146</v>
      </c>
      <c r="E32" s="65"/>
      <c r="F32" s="44"/>
      <c r="G32" s="45"/>
      <c r="H32" s="45">
        <f>H31/H14</f>
        <v>25.586820202941514</v>
      </c>
      <c r="J32" s="3">
        <v>27.277992277992279</v>
      </c>
    </row>
    <row r="33" spans="1:10" x14ac:dyDescent="0.25">
      <c r="A33" s="31" t="s">
        <v>29</v>
      </c>
      <c r="B33" s="9"/>
      <c r="C33" s="9" t="s">
        <v>25</v>
      </c>
      <c r="D33" s="83">
        <f>D27-D31</f>
        <v>370071.42857142852</v>
      </c>
      <c r="E33" s="57"/>
      <c r="F33" s="17"/>
      <c r="G33" s="17"/>
      <c r="H33" s="166">
        <f>H27-H31</f>
        <v>507998.70129870129</v>
      </c>
      <c r="I33" s="4">
        <f>H33-D33</f>
        <v>137927.27272727276</v>
      </c>
      <c r="J33" s="3">
        <v>542678.57142857136</v>
      </c>
    </row>
    <row r="34" spans="1:10" x14ac:dyDescent="0.25">
      <c r="A34" s="31" t="s">
        <v>30</v>
      </c>
      <c r="B34" s="9"/>
      <c r="C34" s="9"/>
      <c r="D34" s="63"/>
      <c r="E34" s="63"/>
      <c r="F34" s="20"/>
      <c r="G34" s="21"/>
      <c r="H34" s="47"/>
    </row>
    <row r="35" spans="1:10" x14ac:dyDescent="0.25">
      <c r="A35" s="52"/>
      <c r="B35" s="48" t="s">
        <v>71</v>
      </c>
      <c r="C35" s="14"/>
      <c r="D35" s="57">
        <f>D7*D22</f>
        <v>5500000</v>
      </c>
      <c r="E35" s="57">
        <f>E7*E22</f>
        <v>5720000</v>
      </c>
      <c r="F35" s="17"/>
      <c r="G35" s="18"/>
      <c r="H35" s="134">
        <f>SUM(E35:G35)</f>
        <v>5720000</v>
      </c>
      <c r="J35" s="3">
        <v>5400000</v>
      </c>
    </row>
    <row r="36" spans="1:10" x14ac:dyDescent="0.25">
      <c r="A36" s="52"/>
      <c r="B36" s="48" t="s">
        <v>131</v>
      </c>
      <c r="C36" s="14"/>
      <c r="D36" s="57">
        <f>D8*D23</f>
        <v>0</v>
      </c>
      <c r="E36" s="57"/>
      <c r="F36" s="17">
        <f>F8*F23</f>
        <v>360000</v>
      </c>
      <c r="G36" s="18"/>
      <c r="H36" s="134">
        <f>SUM(E36:G36)</f>
        <v>360000</v>
      </c>
    </row>
    <row r="37" spans="1:10" x14ac:dyDescent="0.25">
      <c r="A37" s="52"/>
      <c r="B37" s="48" t="s">
        <v>115</v>
      </c>
      <c r="C37" s="14"/>
      <c r="D37" s="57"/>
      <c r="E37" s="57"/>
      <c r="F37" s="17"/>
      <c r="G37" s="18">
        <v>600000</v>
      </c>
      <c r="H37" s="134">
        <f t="shared" ref="H37" si="11">SUM(E37:G37)</f>
        <v>600000</v>
      </c>
      <c r="J37" s="3">
        <v>1200000</v>
      </c>
    </row>
    <row r="38" spans="1:10" x14ac:dyDescent="0.25">
      <c r="A38" s="52"/>
      <c r="B38" s="14" t="s">
        <v>9</v>
      </c>
      <c r="C38" s="14" t="s">
        <v>25</v>
      </c>
      <c r="D38" s="83">
        <f>SUM(D35:D37)</f>
        <v>5500000</v>
      </c>
      <c r="E38" s="63">
        <f>SUM(E35:E37)</f>
        <v>5720000</v>
      </c>
      <c r="F38" s="20">
        <f>SUM(F35:F37)</f>
        <v>360000</v>
      </c>
      <c r="G38" s="21">
        <f>SUM(G35:G37)</f>
        <v>600000</v>
      </c>
      <c r="H38" s="47">
        <f>SUM(H35:H37)</f>
        <v>6680000</v>
      </c>
      <c r="I38" s="4">
        <f>H38-D38</f>
        <v>1180000</v>
      </c>
      <c r="J38" s="3">
        <v>429339.47152982542</v>
      </c>
    </row>
    <row r="39" spans="1:10" x14ac:dyDescent="0.25">
      <c r="A39" s="33"/>
      <c r="B39" s="41" t="s">
        <v>45</v>
      </c>
      <c r="C39" s="14" t="s">
        <v>25</v>
      </c>
      <c r="D39" s="138">
        <f>-PMT(5%,40,D38)</f>
        <v>320529.88641319249</v>
      </c>
      <c r="E39" s="56"/>
      <c r="F39" s="15"/>
      <c r="G39" s="16"/>
      <c r="H39" s="170">
        <f>-PMT(5%,40,H38)</f>
        <v>389298.11658911378</v>
      </c>
      <c r="J39" s="3">
        <v>46.415078003224366</v>
      </c>
    </row>
    <row r="40" spans="1:10" x14ac:dyDescent="0.25">
      <c r="A40" s="32"/>
      <c r="B40" s="11" t="s">
        <v>142</v>
      </c>
      <c r="C40" s="11" t="s">
        <v>22</v>
      </c>
      <c r="D40" s="182">
        <f>D39/D14</f>
        <v>38.852107444023332</v>
      </c>
      <c r="E40" s="64"/>
      <c r="F40" s="22"/>
      <c r="G40" s="23"/>
      <c r="H40" s="171">
        <f>H39/H14</f>
        <v>68.352422705191572</v>
      </c>
    </row>
    <row r="41" spans="1:10" x14ac:dyDescent="0.25">
      <c r="A41" s="33" t="s">
        <v>48</v>
      </c>
      <c r="B41" s="14"/>
      <c r="C41" s="14" t="s">
        <v>25</v>
      </c>
      <c r="D41" s="57">
        <f>D31+D39</f>
        <v>445458.45784176397</v>
      </c>
      <c r="E41" s="57"/>
      <c r="F41" s="17"/>
      <c r="G41" s="17"/>
      <c r="H41" s="169">
        <f>H31+H39</f>
        <v>535026.6880176852</v>
      </c>
      <c r="J41" s="3">
        <v>681660.900101254</v>
      </c>
    </row>
    <row r="42" spans="1:10" x14ac:dyDescent="0.25">
      <c r="A42" s="33"/>
      <c r="B42" s="14" t="s">
        <v>53</v>
      </c>
      <c r="C42" s="14" t="s">
        <v>25</v>
      </c>
      <c r="D42" s="57">
        <f>D26</f>
        <v>0</v>
      </c>
      <c r="E42" s="57"/>
      <c r="F42" s="17"/>
      <c r="G42" s="17"/>
      <c r="H42" s="166">
        <f>H26</f>
        <v>312000</v>
      </c>
      <c r="J42" s="3">
        <v>240000</v>
      </c>
    </row>
    <row r="43" spans="1:10" x14ac:dyDescent="0.25">
      <c r="A43" s="33"/>
      <c r="B43" s="14" t="s">
        <v>54</v>
      </c>
      <c r="C43" s="14" t="s">
        <v>25</v>
      </c>
      <c r="D43" s="57">
        <f>D41-D42</f>
        <v>445458.45784176397</v>
      </c>
      <c r="E43" s="57"/>
      <c r="F43" s="17"/>
      <c r="G43" s="17"/>
      <c r="H43" s="166">
        <f>H41-H42</f>
        <v>223026.6880176852</v>
      </c>
      <c r="J43" s="3">
        <v>441660.900101254</v>
      </c>
    </row>
    <row r="44" spans="1:10" x14ac:dyDescent="0.25">
      <c r="A44" s="32"/>
      <c r="B44" s="11"/>
      <c r="C44" s="19" t="s">
        <v>22</v>
      </c>
      <c r="D44" s="65">
        <f>D43/D14</f>
        <v>53.994964586880478</v>
      </c>
      <c r="E44" s="65"/>
      <c r="F44" s="44"/>
      <c r="G44" s="44"/>
      <c r="H44" s="161">
        <f>H43/H14</f>
        <v>39.15871617229908</v>
      </c>
      <c r="J44" s="3">
        <v>47.747124335270705</v>
      </c>
    </row>
    <row r="45" spans="1:10" x14ac:dyDescent="0.25">
      <c r="A45" s="32" t="s">
        <v>32</v>
      </c>
      <c r="B45" s="11"/>
      <c r="C45" s="19" t="s">
        <v>33</v>
      </c>
      <c r="D45" s="71">
        <f>D38/D33</f>
        <v>14.861995753715501</v>
      </c>
      <c r="E45" s="71"/>
      <c r="F45" s="42"/>
      <c r="G45" s="42"/>
      <c r="H45" s="105">
        <f>H38/H33</f>
        <v>13.149639916248891</v>
      </c>
      <c r="I45" s="43">
        <f>I38/I33</f>
        <v>8.5552333245452132</v>
      </c>
      <c r="J45" s="2">
        <v>12.161895360315896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topLeftCell="A30" workbookViewId="0">
      <selection activeCell="F18" sqref="F18"/>
    </sheetView>
  </sheetViews>
  <sheetFormatPr defaultRowHeight="15" x14ac:dyDescent="0.25"/>
  <cols>
    <col min="2" max="2" width="1.5703125" customWidth="1"/>
    <col min="3" max="3" width="22.42578125" customWidth="1"/>
    <col min="4" max="4" width="9" customWidth="1"/>
    <col min="5" max="5" width="11.140625" customWidth="1"/>
    <col min="6" max="6" width="13.7109375" customWidth="1"/>
    <col min="7" max="7" width="11.140625" customWidth="1"/>
  </cols>
  <sheetData>
    <row r="1" spans="2:7" x14ac:dyDescent="0.25">
      <c r="B1" s="8" t="s">
        <v>135</v>
      </c>
    </row>
    <row r="2" spans="2:7" x14ac:dyDescent="0.25">
      <c r="B2" s="8"/>
    </row>
    <row r="3" spans="2:7" x14ac:dyDescent="0.25">
      <c r="B3" s="31"/>
      <c r="C3" s="34" t="s">
        <v>1</v>
      </c>
      <c r="D3" s="34"/>
      <c r="E3" s="49" t="s">
        <v>10</v>
      </c>
      <c r="F3" s="35" t="s">
        <v>58</v>
      </c>
      <c r="G3" s="36" t="s">
        <v>9</v>
      </c>
    </row>
    <row r="4" spans="2:7" x14ac:dyDescent="0.25">
      <c r="B4" s="32"/>
      <c r="C4" s="19" t="s">
        <v>12</v>
      </c>
      <c r="D4" s="19"/>
      <c r="E4" s="69" t="s">
        <v>49</v>
      </c>
      <c r="F4" s="126" t="s">
        <v>126</v>
      </c>
      <c r="G4" s="51"/>
    </row>
    <row r="5" spans="2:7" x14ac:dyDescent="0.25">
      <c r="B5" s="31" t="s">
        <v>11</v>
      </c>
      <c r="C5" s="9"/>
      <c r="D5" s="9"/>
      <c r="E5" s="70"/>
      <c r="F5" s="9"/>
      <c r="G5" s="24"/>
    </row>
    <row r="6" spans="2:7" x14ac:dyDescent="0.25">
      <c r="B6" s="33"/>
      <c r="C6" s="14" t="s">
        <v>3</v>
      </c>
      <c r="D6" s="14" t="s">
        <v>4</v>
      </c>
      <c r="E6" s="137">
        <v>9</v>
      </c>
      <c r="F6" s="15"/>
      <c r="G6" s="53"/>
    </row>
    <row r="7" spans="2:7" x14ac:dyDescent="0.25">
      <c r="B7" s="33"/>
      <c r="C7" s="72" t="s">
        <v>5</v>
      </c>
      <c r="D7" s="14" t="s">
        <v>4</v>
      </c>
      <c r="E7" s="137">
        <v>5</v>
      </c>
      <c r="F7" s="15"/>
      <c r="G7" s="18">
        <f>E7+F7</f>
        <v>5</v>
      </c>
    </row>
    <row r="8" spans="2:7" x14ac:dyDescent="0.25">
      <c r="B8" s="33"/>
      <c r="C8" s="72" t="s">
        <v>115</v>
      </c>
      <c r="D8" s="14" t="s">
        <v>4</v>
      </c>
      <c r="E8" s="142"/>
      <c r="F8" s="15">
        <v>30</v>
      </c>
      <c r="G8" s="18">
        <f t="shared" ref="G8:G9" si="0">E8+F8</f>
        <v>30</v>
      </c>
    </row>
    <row r="9" spans="2:7" x14ac:dyDescent="0.25">
      <c r="B9" s="33"/>
      <c r="C9" s="14" t="s">
        <v>118</v>
      </c>
      <c r="D9" s="9" t="s">
        <v>4</v>
      </c>
      <c r="E9" s="174">
        <f>E7+E8</f>
        <v>5</v>
      </c>
      <c r="F9" s="114">
        <f>F7+F8</f>
        <v>30</v>
      </c>
      <c r="G9" s="21">
        <f t="shared" si="0"/>
        <v>35</v>
      </c>
    </row>
    <row r="10" spans="2:7" x14ac:dyDescent="0.25">
      <c r="B10" s="33"/>
      <c r="C10" s="14" t="s">
        <v>117</v>
      </c>
      <c r="D10" s="14" t="s">
        <v>7</v>
      </c>
      <c r="E10" s="55">
        <v>0.44</v>
      </c>
      <c r="F10" s="15"/>
      <c r="G10" s="53"/>
    </row>
    <row r="11" spans="2:7" x14ac:dyDescent="0.25">
      <c r="B11" s="33"/>
      <c r="C11" s="72" t="s">
        <v>119</v>
      </c>
      <c r="D11" s="72" t="s">
        <v>4</v>
      </c>
      <c r="E11" s="55"/>
      <c r="F11" s="15">
        <f>9</f>
        <v>9</v>
      </c>
      <c r="G11" s="53"/>
    </row>
    <row r="12" spans="2:7" x14ac:dyDescent="0.25">
      <c r="B12" s="33"/>
      <c r="C12" s="14" t="s">
        <v>8</v>
      </c>
      <c r="D12" s="14" t="s">
        <v>4</v>
      </c>
      <c r="E12" s="56">
        <f>E6/E10</f>
        <v>20.454545454545453</v>
      </c>
      <c r="F12" s="15"/>
      <c r="G12" s="53"/>
    </row>
    <row r="13" spans="2:7" x14ac:dyDescent="0.25">
      <c r="B13" s="33"/>
      <c r="C13" s="14" t="s">
        <v>37</v>
      </c>
      <c r="D13" s="14" t="s">
        <v>38</v>
      </c>
      <c r="E13" s="56">
        <f>55.05*3.6</f>
        <v>198.18</v>
      </c>
      <c r="F13" s="15"/>
      <c r="G13" s="53"/>
    </row>
    <row r="14" spans="2:7" x14ac:dyDescent="0.25">
      <c r="B14" s="31" t="s">
        <v>13</v>
      </c>
      <c r="C14" s="9"/>
      <c r="D14" s="9"/>
      <c r="E14" s="60"/>
      <c r="F14" s="9"/>
      <c r="G14" s="24"/>
    </row>
    <row r="15" spans="2:7" x14ac:dyDescent="0.25">
      <c r="B15" s="52"/>
      <c r="C15" s="14" t="s">
        <v>14</v>
      </c>
      <c r="D15" s="14" t="s">
        <v>15</v>
      </c>
      <c r="E15" s="56">
        <v>8000</v>
      </c>
      <c r="F15" s="15">
        <v>8000</v>
      </c>
      <c r="G15" s="53"/>
    </row>
    <row r="16" spans="2:7" x14ac:dyDescent="0.25">
      <c r="B16" s="33"/>
      <c r="C16" s="14" t="s">
        <v>16</v>
      </c>
      <c r="D16" s="14" t="s">
        <v>18</v>
      </c>
      <c r="E16" s="56">
        <f>E15*E6/1000</f>
        <v>72</v>
      </c>
      <c r="F16" s="17">
        <f>-E16</f>
        <v>-72</v>
      </c>
      <c r="G16" s="18">
        <f t="shared" ref="G16:G20" si="1">E16+F16</f>
        <v>0</v>
      </c>
    </row>
    <row r="17" spans="2:7" x14ac:dyDescent="0.25">
      <c r="B17" s="33"/>
      <c r="C17" s="14" t="s">
        <v>17</v>
      </c>
      <c r="D17" s="14" t="s">
        <v>18</v>
      </c>
      <c r="E17" s="56">
        <f>E9*E15/1000</f>
        <v>40</v>
      </c>
      <c r="F17" s="15">
        <f>F9*F15/1000</f>
        <v>240</v>
      </c>
      <c r="G17" s="18">
        <f t="shared" si="1"/>
        <v>280</v>
      </c>
    </row>
    <row r="18" spans="2:7" x14ac:dyDescent="0.25">
      <c r="B18" s="33"/>
      <c r="C18" s="14" t="s">
        <v>63</v>
      </c>
      <c r="D18" s="9" t="s">
        <v>18</v>
      </c>
      <c r="E18" s="62">
        <f t="shared" ref="E18:F18" si="2">E16+E17</f>
        <v>112</v>
      </c>
      <c r="F18" s="12">
        <f t="shared" si="2"/>
        <v>168</v>
      </c>
      <c r="G18" s="21">
        <f t="shared" si="1"/>
        <v>280</v>
      </c>
    </row>
    <row r="19" spans="2:7" x14ac:dyDescent="0.25">
      <c r="B19" s="33"/>
      <c r="C19" s="14" t="s">
        <v>41</v>
      </c>
      <c r="D19" s="14" t="s">
        <v>18</v>
      </c>
      <c r="E19" s="56">
        <f>E15*E12/1000</f>
        <v>163.63636363636363</v>
      </c>
      <c r="F19" s="14"/>
      <c r="G19" s="18">
        <f t="shared" si="1"/>
        <v>163.63636363636363</v>
      </c>
    </row>
    <row r="20" spans="2:7" x14ac:dyDescent="0.25">
      <c r="B20" s="33"/>
      <c r="C20" s="14" t="s">
        <v>42</v>
      </c>
      <c r="D20" s="14" t="s">
        <v>43</v>
      </c>
      <c r="E20" s="56">
        <f>E19*E13/1000</f>
        <v>32.429454545454547</v>
      </c>
      <c r="F20" s="14"/>
      <c r="G20" s="18">
        <f t="shared" si="1"/>
        <v>32.429454545454547</v>
      </c>
    </row>
    <row r="21" spans="2:7" x14ac:dyDescent="0.25">
      <c r="B21" s="31" t="s">
        <v>19</v>
      </c>
      <c r="C21" s="9"/>
      <c r="D21" s="9"/>
      <c r="E21" s="62"/>
      <c r="F21" s="9"/>
      <c r="G21" s="24"/>
    </row>
    <row r="22" spans="2:7" x14ac:dyDescent="0.25">
      <c r="B22" s="33"/>
      <c r="C22" s="72" t="s">
        <v>20</v>
      </c>
      <c r="D22" s="14" t="s">
        <v>22</v>
      </c>
      <c r="E22" s="56">
        <v>60</v>
      </c>
      <c r="F22" s="15">
        <v>60</v>
      </c>
      <c r="G22" s="53"/>
    </row>
    <row r="23" spans="2:7" ht="14.25" customHeight="1" x14ac:dyDescent="0.25">
      <c r="B23" s="33"/>
      <c r="C23" s="14" t="s">
        <v>21</v>
      </c>
      <c r="D23" s="14" t="s">
        <v>22</v>
      </c>
      <c r="E23" s="120">
        <v>40</v>
      </c>
      <c r="F23" s="116">
        <v>40</v>
      </c>
      <c r="G23" s="75">
        <v>40</v>
      </c>
    </row>
    <row r="24" spans="2:7" x14ac:dyDescent="0.25">
      <c r="B24" s="52"/>
      <c r="C24" s="14" t="s">
        <v>1</v>
      </c>
      <c r="D24" s="14" t="s">
        <v>22</v>
      </c>
      <c r="E24" s="120">
        <v>35</v>
      </c>
      <c r="F24" s="116">
        <v>35</v>
      </c>
      <c r="G24" s="75">
        <v>35</v>
      </c>
    </row>
    <row r="25" spans="2:7" x14ac:dyDescent="0.25">
      <c r="B25" s="33"/>
      <c r="C25" s="14" t="s">
        <v>39</v>
      </c>
      <c r="D25" s="14" t="s">
        <v>40</v>
      </c>
      <c r="E25" s="120">
        <v>8</v>
      </c>
      <c r="F25" s="116">
        <v>8</v>
      </c>
      <c r="G25" s="75">
        <v>8</v>
      </c>
    </row>
    <row r="26" spans="2:7" x14ac:dyDescent="0.25">
      <c r="B26" s="33"/>
      <c r="C26" s="14" t="s">
        <v>35</v>
      </c>
      <c r="D26" s="14" t="s">
        <v>22</v>
      </c>
      <c r="E26" s="82">
        <v>9.02</v>
      </c>
      <c r="F26" s="14"/>
      <c r="G26" s="26"/>
    </row>
    <row r="27" spans="2:7" x14ac:dyDescent="0.25">
      <c r="B27" s="33"/>
      <c r="C27" s="14" t="s">
        <v>27</v>
      </c>
      <c r="D27" s="14" t="s">
        <v>22</v>
      </c>
      <c r="E27" s="82">
        <v>7</v>
      </c>
      <c r="F27" s="172">
        <v>1</v>
      </c>
      <c r="G27" s="26"/>
    </row>
    <row r="28" spans="2:7" x14ac:dyDescent="0.25">
      <c r="B28" s="33"/>
      <c r="C28" s="14" t="s">
        <v>30</v>
      </c>
      <c r="D28" s="14" t="s">
        <v>31</v>
      </c>
      <c r="E28" s="61">
        <v>700</v>
      </c>
      <c r="F28" s="29">
        <v>300</v>
      </c>
      <c r="G28" s="175"/>
    </row>
    <row r="29" spans="2:7" x14ac:dyDescent="0.25">
      <c r="B29" s="31" t="s">
        <v>23</v>
      </c>
      <c r="C29" s="9"/>
      <c r="D29" s="9"/>
      <c r="E29" s="56"/>
      <c r="F29" s="14"/>
      <c r="G29" s="53"/>
    </row>
    <row r="30" spans="2:7" x14ac:dyDescent="0.25">
      <c r="B30" s="33"/>
      <c r="C30" s="14" t="s">
        <v>20</v>
      </c>
      <c r="D30" s="14" t="s">
        <v>25</v>
      </c>
      <c r="E30" s="56">
        <f>E16*E22</f>
        <v>4320</v>
      </c>
      <c r="F30" s="15">
        <f>F16*F22</f>
        <v>-4320</v>
      </c>
      <c r="G30" s="18">
        <f>E30+F30</f>
        <v>0</v>
      </c>
    </row>
    <row r="31" spans="2:7" x14ac:dyDescent="0.25">
      <c r="B31" s="33"/>
      <c r="C31" s="14" t="s">
        <v>24</v>
      </c>
      <c r="D31" s="14" t="s">
        <v>25</v>
      </c>
      <c r="E31" s="61">
        <f>E17*E23</f>
        <v>1600</v>
      </c>
      <c r="F31" s="29">
        <f>F17*F23</f>
        <v>9600</v>
      </c>
      <c r="G31" s="76">
        <f t="shared" ref="G31:G39" si="3">E31+F31</f>
        <v>11200</v>
      </c>
    </row>
    <row r="32" spans="2:7" x14ac:dyDescent="0.25">
      <c r="B32" s="113"/>
      <c r="C32" s="11" t="s">
        <v>9</v>
      </c>
      <c r="D32" s="11" t="s">
        <v>25</v>
      </c>
      <c r="E32" s="138">
        <f t="shared" ref="E32:F32" si="4">E30+E31</f>
        <v>5920</v>
      </c>
      <c r="F32" s="135">
        <f t="shared" si="4"/>
        <v>5280</v>
      </c>
      <c r="G32" s="18">
        <f t="shared" si="3"/>
        <v>11200</v>
      </c>
    </row>
    <row r="33" spans="2:7" x14ac:dyDescent="0.25">
      <c r="B33" s="31" t="s">
        <v>70</v>
      </c>
      <c r="C33" s="9"/>
      <c r="D33" s="9"/>
      <c r="E33" s="62"/>
      <c r="F33" s="9"/>
      <c r="G33" s="24"/>
    </row>
    <row r="34" spans="2:7" x14ac:dyDescent="0.25">
      <c r="B34" s="33"/>
      <c r="C34" s="14" t="s">
        <v>1</v>
      </c>
      <c r="D34" s="14" t="s">
        <v>25</v>
      </c>
      <c r="E34" s="56">
        <f>E19*E24</f>
        <v>5727.272727272727</v>
      </c>
      <c r="F34" s="14"/>
      <c r="G34" s="18">
        <f t="shared" si="3"/>
        <v>5727.272727272727</v>
      </c>
    </row>
    <row r="35" spans="2:7" x14ac:dyDescent="0.25">
      <c r="B35" s="33"/>
      <c r="C35" s="72" t="s">
        <v>20</v>
      </c>
      <c r="D35" s="14" t="s">
        <v>25</v>
      </c>
      <c r="E35" s="56"/>
      <c r="F35" s="17">
        <v>0</v>
      </c>
      <c r="G35" s="18">
        <f t="shared" si="3"/>
        <v>0</v>
      </c>
    </row>
    <row r="36" spans="2:7" x14ac:dyDescent="0.25">
      <c r="B36" s="52"/>
      <c r="C36" s="14" t="s">
        <v>44</v>
      </c>
      <c r="D36" s="14" t="s">
        <v>25</v>
      </c>
      <c r="E36" s="56">
        <f>E25*E20</f>
        <v>259.43563636363638</v>
      </c>
      <c r="F36" s="14"/>
      <c r="G36" s="18">
        <f t="shared" si="3"/>
        <v>259.43563636363638</v>
      </c>
    </row>
    <row r="37" spans="2:7" x14ac:dyDescent="0.25">
      <c r="B37" s="52"/>
      <c r="C37" s="14" t="s">
        <v>35</v>
      </c>
      <c r="D37" s="14" t="s">
        <v>25</v>
      </c>
      <c r="E37" s="56">
        <f>E26*E17*0.9</f>
        <v>324.71999999999997</v>
      </c>
      <c r="F37" s="14"/>
      <c r="G37" s="18"/>
    </row>
    <row r="38" spans="2:7" x14ac:dyDescent="0.25">
      <c r="B38" s="33"/>
      <c r="C38" s="14" t="s">
        <v>28</v>
      </c>
      <c r="D38" s="14" t="s">
        <v>25</v>
      </c>
      <c r="E38" s="56">
        <f>E27*E16</f>
        <v>504</v>
      </c>
      <c r="F38" s="15">
        <f>F18*F27</f>
        <v>168</v>
      </c>
      <c r="G38" s="18">
        <f t="shared" si="3"/>
        <v>672</v>
      </c>
    </row>
    <row r="39" spans="2:7" x14ac:dyDescent="0.25">
      <c r="B39" s="33"/>
      <c r="C39" s="14" t="s">
        <v>9</v>
      </c>
      <c r="D39" s="9" t="s">
        <v>25</v>
      </c>
      <c r="E39" s="63">
        <f>SUM(E34:E38)</f>
        <v>6815.4283636363634</v>
      </c>
      <c r="F39" s="20">
        <f>SUM(F34:F38)</f>
        <v>168</v>
      </c>
      <c r="G39" s="21">
        <f t="shared" si="3"/>
        <v>6983.4283636363634</v>
      </c>
    </row>
    <row r="40" spans="2:7" x14ac:dyDescent="0.25">
      <c r="B40" s="32"/>
      <c r="C40" s="133" t="s">
        <v>24</v>
      </c>
      <c r="D40" s="19" t="s">
        <v>22</v>
      </c>
      <c r="E40" s="65"/>
      <c r="F40" s="11"/>
      <c r="G40" s="173">
        <f>G39/G18</f>
        <v>24.940815584415585</v>
      </c>
    </row>
    <row r="41" spans="2:7" x14ac:dyDescent="0.25">
      <c r="B41" s="31" t="s">
        <v>29</v>
      </c>
      <c r="C41" s="41"/>
      <c r="D41" s="41" t="s">
        <v>25</v>
      </c>
      <c r="E41" s="139"/>
      <c r="F41" s="132"/>
      <c r="G41" s="18">
        <f>G32-G39</f>
        <v>4216.5716363636366</v>
      </c>
    </row>
    <row r="42" spans="2:7" x14ac:dyDescent="0.25">
      <c r="B42" s="33" t="s">
        <v>30</v>
      </c>
      <c r="C42" s="41"/>
      <c r="D42" s="41"/>
      <c r="E42" s="139"/>
      <c r="F42" s="132"/>
      <c r="G42" s="18"/>
    </row>
    <row r="43" spans="2:7" x14ac:dyDescent="0.25">
      <c r="B43" s="31"/>
      <c r="C43" s="145" t="s">
        <v>71</v>
      </c>
      <c r="D43" s="145" t="s">
        <v>25</v>
      </c>
      <c r="E43" s="152">
        <f>E28*E6</f>
        <v>6300</v>
      </c>
      <c r="F43" s="145"/>
      <c r="G43" s="21">
        <f t="shared" ref="G43:G46" si="5">E43+F43</f>
        <v>6300</v>
      </c>
    </row>
    <row r="44" spans="2:7" x14ac:dyDescent="0.25">
      <c r="B44" s="33"/>
      <c r="C44" s="48" t="s">
        <v>115</v>
      </c>
      <c r="D44" s="48" t="s">
        <v>25</v>
      </c>
      <c r="E44" s="148"/>
      <c r="F44" s="147">
        <f>F28*F8</f>
        <v>9000</v>
      </c>
      <c r="G44" s="18">
        <f t="shared" si="5"/>
        <v>9000</v>
      </c>
    </row>
    <row r="45" spans="2:7" x14ac:dyDescent="0.25">
      <c r="B45" s="52"/>
      <c r="C45" s="11"/>
      <c r="D45" s="78" t="s">
        <v>25</v>
      </c>
      <c r="E45" s="131">
        <f t="shared" ref="E45" si="6">SUM(E43:E44)</f>
        <v>6300</v>
      </c>
      <c r="F45" s="129">
        <f>SUM(F43:F44)</f>
        <v>9000</v>
      </c>
      <c r="G45" s="130">
        <f t="shared" si="5"/>
        <v>15300</v>
      </c>
    </row>
    <row r="46" spans="2:7" x14ac:dyDescent="0.25">
      <c r="B46" s="150"/>
      <c r="C46" s="48" t="s">
        <v>45</v>
      </c>
      <c r="D46" s="14" t="s">
        <v>25</v>
      </c>
      <c r="E46" s="62">
        <f t="shared" ref="E46:F46" si="7">-PMT(5%,30,E45)</f>
        <v>409.82404100574252</v>
      </c>
      <c r="F46" s="12">
        <f t="shared" si="7"/>
        <v>585.46291572248924</v>
      </c>
      <c r="G46" s="21">
        <f t="shared" si="5"/>
        <v>995.28695672823176</v>
      </c>
    </row>
    <row r="47" spans="2:7" x14ac:dyDescent="0.25">
      <c r="B47" s="146"/>
      <c r="C47" s="11" t="s">
        <v>69</v>
      </c>
      <c r="D47" s="19" t="s">
        <v>22</v>
      </c>
      <c r="E47" s="65"/>
      <c r="F47" s="44"/>
      <c r="G47" s="45">
        <f>G46/G17</f>
        <v>3.5545962740293993</v>
      </c>
    </row>
    <row r="48" spans="2:7" x14ac:dyDescent="0.25">
      <c r="B48" s="33" t="s">
        <v>48</v>
      </c>
      <c r="C48" s="14"/>
      <c r="D48" s="41" t="s">
        <v>25</v>
      </c>
      <c r="E48" s="139"/>
      <c r="F48" s="132"/>
      <c r="G48" s="134">
        <f>G39+G46</f>
        <v>7978.7153203645948</v>
      </c>
    </row>
    <row r="49" spans="1:7" x14ac:dyDescent="0.25">
      <c r="B49" s="32"/>
      <c r="C49" s="48" t="s">
        <v>134</v>
      </c>
      <c r="D49" s="48" t="s">
        <v>22</v>
      </c>
      <c r="E49" s="140"/>
      <c r="F49" s="94"/>
      <c r="G49" s="95">
        <f>G48/G18</f>
        <v>28.495411858444982</v>
      </c>
    </row>
    <row r="50" spans="1:7" x14ac:dyDescent="0.25">
      <c r="B50" s="79" t="s">
        <v>32</v>
      </c>
      <c r="C50" s="78"/>
      <c r="D50" s="80" t="s">
        <v>33</v>
      </c>
      <c r="E50" s="66"/>
      <c r="F50" s="42"/>
      <c r="G50" s="43">
        <f>G45/G41</f>
        <v>3.6285402738217654</v>
      </c>
    </row>
    <row r="51" spans="1:7" x14ac:dyDescent="0.25">
      <c r="A51" s="14"/>
      <c r="B51" s="41"/>
    </row>
    <row r="52" spans="1:7" x14ac:dyDescent="0.25">
      <c r="A52" s="14"/>
      <c r="B52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A27" sqref="A1:A1048576"/>
    </sheetView>
  </sheetViews>
  <sheetFormatPr defaultRowHeight="15" x14ac:dyDescent="0.25"/>
  <cols>
    <col min="1" max="1" width="1.5703125" customWidth="1"/>
    <col min="2" max="2" width="18.42578125" customWidth="1"/>
    <col min="3" max="3" width="8" customWidth="1"/>
    <col min="4" max="8" width="11.85546875" customWidth="1"/>
    <col min="11" max="13" width="13" customWidth="1"/>
  </cols>
  <sheetData>
    <row r="1" spans="1:13" x14ac:dyDescent="0.25">
      <c r="A1" s="8" t="s">
        <v>122</v>
      </c>
      <c r="F1" t="s">
        <v>125</v>
      </c>
      <c r="K1" t="s">
        <v>123</v>
      </c>
    </row>
    <row r="2" spans="1:13" x14ac:dyDescent="0.25">
      <c r="A2" s="8"/>
      <c r="F2" t="s">
        <v>126</v>
      </c>
      <c r="K2" t="s">
        <v>124</v>
      </c>
    </row>
    <row r="3" spans="1:13" x14ac:dyDescent="0.25">
      <c r="A3" s="31"/>
      <c r="B3" s="34" t="s">
        <v>1</v>
      </c>
      <c r="C3" s="34"/>
      <c r="D3" s="49" t="s">
        <v>10</v>
      </c>
      <c r="E3" s="36" t="s">
        <v>114</v>
      </c>
      <c r="F3" s="49" t="s">
        <v>114</v>
      </c>
      <c r="G3" s="35" t="s">
        <v>116</v>
      </c>
      <c r="H3" s="36" t="s">
        <v>9</v>
      </c>
      <c r="K3" s="49" t="s">
        <v>114</v>
      </c>
      <c r="L3" s="35" t="s">
        <v>116</v>
      </c>
      <c r="M3" s="36" t="s">
        <v>9</v>
      </c>
    </row>
    <row r="4" spans="1:13" x14ac:dyDescent="0.25">
      <c r="A4" s="32"/>
      <c r="B4" s="19" t="s">
        <v>12</v>
      </c>
      <c r="C4" s="19"/>
      <c r="D4" s="69" t="s">
        <v>49</v>
      </c>
      <c r="E4" s="38" t="s">
        <v>49</v>
      </c>
      <c r="F4" s="143" t="s">
        <v>120</v>
      </c>
      <c r="G4" s="126" t="s">
        <v>121</v>
      </c>
      <c r="H4" s="51"/>
      <c r="K4" s="143" t="s">
        <v>120</v>
      </c>
      <c r="L4" s="126" t="s">
        <v>121</v>
      </c>
      <c r="M4" s="51"/>
    </row>
    <row r="5" spans="1:13" x14ac:dyDescent="0.25">
      <c r="A5" s="31" t="s">
        <v>11</v>
      </c>
      <c r="B5" s="9"/>
      <c r="C5" s="9"/>
      <c r="D5" s="70"/>
      <c r="E5" s="24"/>
      <c r="F5" s="60"/>
      <c r="G5" s="9"/>
      <c r="H5" s="24"/>
      <c r="K5" s="60"/>
      <c r="L5" s="9"/>
      <c r="M5" s="24"/>
    </row>
    <row r="6" spans="1:13" x14ac:dyDescent="0.25">
      <c r="A6" s="33"/>
      <c r="B6" s="14" t="s">
        <v>3</v>
      </c>
      <c r="C6" s="14" t="s">
        <v>4</v>
      </c>
      <c r="D6" s="137">
        <v>50</v>
      </c>
      <c r="E6" s="153">
        <v>50</v>
      </c>
      <c r="F6" s="52"/>
      <c r="G6" s="15"/>
      <c r="H6" s="53"/>
      <c r="K6" s="52"/>
      <c r="L6" s="15"/>
      <c r="M6" s="53"/>
    </row>
    <row r="7" spans="1:13" x14ac:dyDescent="0.25">
      <c r="A7" s="33"/>
      <c r="B7" s="72" t="s">
        <v>5</v>
      </c>
      <c r="C7" s="14" t="s">
        <v>4</v>
      </c>
      <c r="D7" s="137">
        <v>50</v>
      </c>
      <c r="E7" s="154">
        <v>25</v>
      </c>
      <c r="F7" s="120">
        <v>25</v>
      </c>
      <c r="G7" s="15"/>
      <c r="H7" s="53"/>
      <c r="K7" s="120">
        <v>25</v>
      </c>
      <c r="L7" s="15"/>
      <c r="M7" s="53"/>
    </row>
    <row r="8" spans="1:13" x14ac:dyDescent="0.25">
      <c r="A8" s="33"/>
      <c r="B8" s="72" t="s">
        <v>115</v>
      </c>
      <c r="C8" s="14" t="s">
        <v>4</v>
      </c>
      <c r="D8" s="142"/>
      <c r="E8" s="155"/>
      <c r="F8" s="120">
        <v>150</v>
      </c>
      <c r="G8" s="15">
        <f>F8</f>
        <v>150</v>
      </c>
      <c r="H8" s="53"/>
      <c r="K8" s="120">
        <v>150</v>
      </c>
      <c r="L8" s="15">
        <f>K8</f>
        <v>150</v>
      </c>
      <c r="M8" s="53"/>
    </row>
    <row r="9" spans="1:13" x14ac:dyDescent="0.25">
      <c r="A9" s="33"/>
      <c r="B9" s="14" t="s">
        <v>118</v>
      </c>
      <c r="C9" s="14" t="s">
        <v>4</v>
      </c>
      <c r="D9" s="156">
        <f>D7+D8</f>
        <v>50</v>
      </c>
      <c r="E9" s="153">
        <v>25</v>
      </c>
      <c r="F9" s="120">
        <f>F7+F8</f>
        <v>175</v>
      </c>
      <c r="G9" s="116">
        <f>G7+G8</f>
        <v>150</v>
      </c>
      <c r="H9" s="53"/>
      <c r="K9" s="120">
        <f>K7+K8</f>
        <v>175</v>
      </c>
      <c r="L9" s="116">
        <f>L7+L8</f>
        <v>150</v>
      </c>
      <c r="M9" s="53"/>
    </row>
    <row r="10" spans="1:13" x14ac:dyDescent="0.25">
      <c r="A10" s="33"/>
      <c r="B10" s="14" t="s">
        <v>9</v>
      </c>
      <c r="C10" s="14" t="s">
        <v>4</v>
      </c>
      <c r="D10" s="137">
        <f>D6+D9</f>
        <v>100</v>
      </c>
      <c r="E10" s="153">
        <f>E6+E9</f>
        <v>75</v>
      </c>
      <c r="F10" s="56"/>
      <c r="G10" s="15"/>
      <c r="H10" s="53"/>
      <c r="K10" s="56"/>
      <c r="L10" s="15"/>
      <c r="M10" s="53"/>
    </row>
    <row r="11" spans="1:13" x14ac:dyDescent="0.25">
      <c r="A11" s="33"/>
      <c r="B11" s="14" t="s">
        <v>117</v>
      </c>
      <c r="C11" s="14" t="s">
        <v>7</v>
      </c>
      <c r="D11" s="55">
        <v>0.42</v>
      </c>
      <c r="E11" s="28">
        <v>0.42</v>
      </c>
      <c r="F11" s="56"/>
      <c r="G11" s="15"/>
      <c r="H11" s="53"/>
      <c r="K11" s="56"/>
      <c r="L11" s="15"/>
      <c r="M11" s="53"/>
    </row>
    <row r="12" spans="1:13" x14ac:dyDescent="0.25">
      <c r="A12" s="33"/>
      <c r="B12" s="72" t="s">
        <v>119</v>
      </c>
      <c r="C12" s="72" t="s">
        <v>4</v>
      </c>
      <c r="D12" s="55"/>
      <c r="E12" s="28"/>
      <c r="F12" s="56"/>
      <c r="G12" s="15">
        <f>G8/3</f>
        <v>50</v>
      </c>
      <c r="H12" s="53"/>
      <c r="K12" s="56">
        <v>50</v>
      </c>
      <c r="L12" s="15">
        <f>L8/3</f>
        <v>50</v>
      </c>
      <c r="M12" s="53"/>
    </row>
    <row r="13" spans="1:13" x14ac:dyDescent="0.25">
      <c r="A13" s="33"/>
      <c r="B13" s="14" t="s">
        <v>8</v>
      </c>
      <c r="C13" s="14" t="s">
        <v>4</v>
      </c>
      <c r="D13" s="56">
        <f>D6/D11</f>
        <v>119.04761904761905</v>
      </c>
      <c r="E13" s="16">
        <f>E6/E11</f>
        <v>119.04761904761905</v>
      </c>
      <c r="F13" s="120">
        <f>E13</f>
        <v>119.04761904761905</v>
      </c>
      <c r="G13" s="15"/>
      <c r="H13" s="53"/>
      <c r="K13" s="120">
        <f>K7/0.9</f>
        <v>27.777777777777779</v>
      </c>
      <c r="L13" s="15"/>
      <c r="M13" s="53"/>
    </row>
    <row r="14" spans="1:13" x14ac:dyDescent="0.25">
      <c r="A14" s="32"/>
      <c r="B14" s="11" t="s">
        <v>37</v>
      </c>
      <c r="C14" s="11" t="s">
        <v>38</v>
      </c>
      <c r="D14" s="61">
        <f>55.05*3.6</f>
        <v>198.18</v>
      </c>
      <c r="E14" s="30">
        <f>55.05*3.6</f>
        <v>198.18</v>
      </c>
      <c r="F14" s="121">
        <f>E14</f>
        <v>198.18</v>
      </c>
      <c r="G14" s="29"/>
      <c r="H14" s="141"/>
      <c r="K14" s="121">
        <f>F14</f>
        <v>198.18</v>
      </c>
      <c r="L14" s="29"/>
      <c r="M14" s="141"/>
    </row>
    <row r="15" spans="1:13" x14ac:dyDescent="0.25">
      <c r="A15" s="33" t="s">
        <v>13</v>
      </c>
      <c r="B15" s="14"/>
      <c r="C15" s="14"/>
      <c r="D15" s="52"/>
      <c r="E15" s="53"/>
      <c r="F15" s="52"/>
      <c r="G15" s="14"/>
      <c r="H15" s="53"/>
      <c r="K15" s="52"/>
      <c r="L15" s="14"/>
      <c r="M15" s="53"/>
    </row>
    <row r="16" spans="1:13" x14ac:dyDescent="0.25">
      <c r="A16" s="33"/>
      <c r="B16" s="14" t="s">
        <v>14</v>
      </c>
      <c r="C16" s="14" t="s">
        <v>15</v>
      </c>
      <c r="D16" s="56">
        <v>5000</v>
      </c>
      <c r="E16" s="16">
        <v>5000</v>
      </c>
      <c r="F16" s="57">
        <f>E16</f>
        <v>5000</v>
      </c>
      <c r="G16" s="15">
        <v>3000</v>
      </c>
      <c r="H16" s="53"/>
      <c r="K16" s="57">
        <v>5000</v>
      </c>
      <c r="L16" s="15">
        <v>3000</v>
      </c>
      <c r="M16" s="53"/>
    </row>
    <row r="17" spans="1:13" x14ac:dyDescent="0.25">
      <c r="A17" s="33"/>
      <c r="B17" s="14" t="s">
        <v>16</v>
      </c>
      <c r="C17" s="14" t="s">
        <v>18</v>
      </c>
      <c r="D17" s="56">
        <f>D6*D16/1000</f>
        <v>250</v>
      </c>
      <c r="E17" s="16">
        <f>E6*E16/1000</f>
        <v>250</v>
      </c>
      <c r="F17" s="52"/>
      <c r="G17" s="14"/>
      <c r="H17" s="53"/>
      <c r="K17" s="52"/>
      <c r="L17" s="14"/>
      <c r="M17" s="53"/>
    </row>
    <row r="18" spans="1:13" x14ac:dyDescent="0.25">
      <c r="A18" s="33"/>
      <c r="B18" s="14" t="s">
        <v>17</v>
      </c>
      <c r="C18" s="14" t="s">
        <v>18</v>
      </c>
      <c r="D18" s="56">
        <f>D9*D16/1000</f>
        <v>250</v>
      </c>
      <c r="E18" s="16">
        <f>E9*E16/1000</f>
        <v>125</v>
      </c>
      <c r="F18" s="56">
        <f>F9*F16/1000</f>
        <v>875</v>
      </c>
      <c r="G18" s="15">
        <f>G9*G16/1000</f>
        <v>450</v>
      </c>
      <c r="H18" s="18">
        <f>F18+G18</f>
        <v>1325</v>
      </c>
      <c r="K18" s="56">
        <f>K9*K16/1000</f>
        <v>875</v>
      </c>
      <c r="L18" s="15">
        <f>L9*L16/1000</f>
        <v>450</v>
      </c>
      <c r="M18" s="18">
        <f>K18+L18</f>
        <v>1325</v>
      </c>
    </row>
    <row r="19" spans="1:13" x14ac:dyDescent="0.25">
      <c r="A19" s="33"/>
      <c r="B19" s="14" t="s">
        <v>63</v>
      </c>
      <c r="C19" s="9" t="s">
        <v>18</v>
      </c>
      <c r="D19" s="62">
        <f t="shared" ref="D19:G19" si="0">D17+D18</f>
        <v>500</v>
      </c>
      <c r="E19" s="13">
        <f t="shared" si="0"/>
        <v>375</v>
      </c>
      <c r="F19" s="62">
        <f t="shared" si="0"/>
        <v>875</v>
      </c>
      <c r="G19" s="12">
        <f t="shared" si="0"/>
        <v>450</v>
      </c>
      <c r="H19" s="21">
        <f>F19+G19</f>
        <v>1325</v>
      </c>
      <c r="K19" s="62">
        <f t="shared" ref="K19:L19" si="1">K17+K18</f>
        <v>875</v>
      </c>
      <c r="L19" s="12">
        <f t="shared" si="1"/>
        <v>450</v>
      </c>
      <c r="M19" s="21">
        <f>K19+L19</f>
        <v>1325</v>
      </c>
    </row>
    <row r="20" spans="1:13" x14ac:dyDescent="0.25">
      <c r="A20" s="33"/>
      <c r="B20" s="72" t="s">
        <v>119</v>
      </c>
      <c r="C20" s="72" t="s">
        <v>18</v>
      </c>
      <c r="D20" s="56"/>
      <c r="E20" s="16"/>
      <c r="F20" s="56"/>
      <c r="G20" s="15">
        <f>G12*G16/1000</f>
        <v>150</v>
      </c>
      <c r="H20" s="18"/>
      <c r="K20" s="56">
        <f>K12*K16/1000</f>
        <v>250</v>
      </c>
      <c r="L20" s="15">
        <f>L12*L16/1000</f>
        <v>150</v>
      </c>
      <c r="M20" s="18"/>
    </row>
    <row r="21" spans="1:13" x14ac:dyDescent="0.25">
      <c r="A21" s="33"/>
      <c r="B21" s="14" t="s">
        <v>41</v>
      </c>
      <c r="C21" s="14" t="s">
        <v>18</v>
      </c>
      <c r="D21" s="56">
        <f t="shared" ref="D21:E21" si="2">D16*D13/1000</f>
        <v>595.2380952380953</v>
      </c>
      <c r="E21" s="16">
        <f t="shared" si="2"/>
        <v>595.2380952380953</v>
      </c>
      <c r="F21" s="57">
        <f>E21</f>
        <v>595.2380952380953</v>
      </c>
      <c r="G21" s="14"/>
      <c r="H21" s="53"/>
      <c r="K21" s="57">
        <f>K7*K16/1000</f>
        <v>125</v>
      </c>
      <c r="L21" s="14"/>
      <c r="M21" s="53"/>
    </row>
    <row r="22" spans="1:13" x14ac:dyDescent="0.25">
      <c r="A22" s="33"/>
      <c r="B22" s="14" t="s">
        <v>42</v>
      </c>
      <c r="C22" s="14" t="s">
        <v>43</v>
      </c>
      <c r="D22" s="56">
        <f t="shared" ref="D22:E22" si="3">D21*D14/1000</f>
        <v>117.96428571428572</v>
      </c>
      <c r="E22" s="16">
        <f t="shared" si="3"/>
        <v>117.96428571428572</v>
      </c>
      <c r="F22" s="144">
        <f>E22</f>
        <v>117.96428571428572</v>
      </c>
      <c r="G22" s="11"/>
      <c r="H22" s="141"/>
      <c r="K22" s="144">
        <f>K14*K21/1000</f>
        <v>24.772500000000001</v>
      </c>
      <c r="L22" s="11"/>
      <c r="M22" s="141"/>
    </row>
    <row r="23" spans="1:13" x14ac:dyDescent="0.25">
      <c r="A23" s="31" t="s">
        <v>19</v>
      </c>
      <c r="B23" s="9"/>
      <c r="C23" s="9"/>
      <c r="D23" s="62"/>
      <c r="E23" s="13"/>
      <c r="F23" s="52"/>
      <c r="G23" s="14"/>
      <c r="H23" s="53"/>
      <c r="K23" s="52"/>
      <c r="L23" s="14"/>
      <c r="M23" s="53"/>
    </row>
    <row r="24" spans="1:13" x14ac:dyDescent="0.25">
      <c r="A24" s="33"/>
      <c r="B24" s="14" t="s">
        <v>20</v>
      </c>
      <c r="C24" s="14" t="s">
        <v>22</v>
      </c>
      <c r="D24" s="56">
        <v>60</v>
      </c>
      <c r="E24" s="16">
        <v>60</v>
      </c>
      <c r="F24" s="56"/>
      <c r="G24" s="15">
        <v>60</v>
      </c>
      <c r="H24" s="53"/>
      <c r="K24" s="56">
        <v>60</v>
      </c>
      <c r="L24" s="15">
        <v>60</v>
      </c>
      <c r="M24" s="53"/>
    </row>
    <row r="25" spans="1:13" x14ac:dyDescent="0.25">
      <c r="A25" s="33"/>
      <c r="B25" s="14" t="s">
        <v>21</v>
      </c>
      <c r="C25" s="14" t="s">
        <v>22</v>
      </c>
      <c r="D25" s="56">
        <v>40</v>
      </c>
      <c r="E25" s="16">
        <v>40</v>
      </c>
      <c r="F25" s="56">
        <v>40</v>
      </c>
      <c r="G25" s="127">
        <v>40</v>
      </c>
      <c r="H25" s="53"/>
      <c r="K25" s="56">
        <v>40</v>
      </c>
      <c r="L25" s="127">
        <v>40</v>
      </c>
      <c r="M25" s="53"/>
    </row>
    <row r="26" spans="1:13" x14ac:dyDescent="0.25">
      <c r="A26" s="33"/>
      <c r="B26" s="14" t="s">
        <v>1</v>
      </c>
      <c r="C26" s="14" t="s">
        <v>22</v>
      </c>
      <c r="D26" s="56">
        <v>35</v>
      </c>
      <c r="E26" s="16">
        <v>35</v>
      </c>
      <c r="F26" s="56">
        <v>35</v>
      </c>
      <c r="G26" s="14"/>
      <c r="H26" s="53"/>
      <c r="K26" s="56">
        <v>35</v>
      </c>
      <c r="L26" s="14"/>
      <c r="M26" s="53"/>
    </row>
    <row r="27" spans="1:13" x14ac:dyDescent="0.25">
      <c r="A27" s="33"/>
      <c r="B27" s="14" t="s">
        <v>39</v>
      </c>
      <c r="C27" s="14" t="s">
        <v>40</v>
      </c>
      <c r="D27" s="56">
        <v>20</v>
      </c>
      <c r="E27" s="16">
        <v>20</v>
      </c>
      <c r="F27" s="56">
        <v>20</v>
      </c>
      <c r="G27" s="14"/>
      <c r="H27" s="53"/>
      <c r="K27" s="56">
        <v>20</v>
      </c>
      <c r="L27" s="14"/>
      <c r="M27" s="53"/>
    </row>
    <row r="28" spans="1:13" x14ac:dyDescent="0.25">
      <c r="A28" s="33"/>
      <c r="B28" s="14" t="s">
        <v>35</v>
      </c>
      <c r="C28" s="14" t="s">
        <v>22</v>
      </c>
      <c r="D28" s="82">
        <v>9.02</v>
      </c>
      <c r="E28" s="40">
        <v>9.02</v>
      </c>
      <c r="F28" s="82">
        <f>D28</f>
        <v>9.02</v>
      </c>
      <c r="G28" s="14"/>
      <c r="H28" s="53"/>
      <c r="K28" s="82">
        <f>F28</f>
        <v>9.02</v>
      </c>
      <c r="L28" s="14"/>
      <c r="M28" s="53"/>
    </row>
    <row r="29" spans="1:13" x14ac:dyDescent="0.25">
      <c r="A29" s="33"/>
      <c r="B29" s="14" t="s">
        <v>27</v>
      </c>
      <c r="C29" s="14" t="s">
        <v>22</v>
      </c>
      <c r="D29" s="82">
        <v>7</v>
      </c>
      <c r="E29" s="40">
        <v>7</v>
      </c>
      <c r="F29" s="82">
        <v>7</v>
      </c>
      <c r="G29" s="14"/>
      <c r="H29" s="53"/>
      <c r="K29" s="82">
        <v>7</v>
      </c>
      <c r="L29" s="14"/>
      <c r="M29" s="53"/>
    </row>
    <row r="30" spans="1:13" x14ac:dyDescent="0.25">
      <c r="A30" s="33"/>
      <c r="B30" s="14" t="s">
        <v>71</v>
      </c>
      <c r="C30" s="14" t="s">
        <v>31</v>
      </c>
      <c r="D30" s="56">
        <v>800</v>
      </c>
      <c r="E30" s="16">
        <v>800</v>
      </c>
      <c r="F30" s="56">
        <v>800</v>
      </c>
      <c r="G30" s="14"/>
      <c r="H30" s="53"/>
      <c r="K30" s="56"/>
      <c r="L30" s="14"/>
      <c r="M30" s="53"/>
    </row>
    <row r="31" spans="1:13" x14ac:dyDescent="0.25">
      <c r="A31" s="32"/>
      <c r="B31" s="133" t="s">
        <v>115</v>
      </c>
      <c r="C31" s="133" t="s">
        <v>31</v>
      </c>
      <c r="D31" s="61"/>
      <c r="E31" s="30"/>
      <c r="F31" s="56"/>
      <c r="G31" s="15">
        <v>300</v>
      </c>
      <c r="H31" s="53"/>
      <c r="K31" s="56">
        <v>100</v>
      </c>
      <c r="L31" s="15">
        <v>300</v>
      </c>
      <c r="M31" s="53"/>
    </row>
    <row r="32" spans="1:13" x14ac:dyDescent="0.25">
      <c r="A32" s="33" t="s">
        <v>23</v>
      </c>
      <c r="B32" s="14"/>
      <c r="C32" s="14"/>
      <c r="D32" s="56"/>
      <c r="E32" s="16"/>
      <c r="F32" s="60"/>
      <c r="G32" s="9"/>
      <c r="H32" s="24"/>
      <c r="K32" s="60"/>
      <c r="L32" s="9"/>
      <c r="M32" s="24"/>
    </row>
    <row r="33" spans="1:13" x14ac:dyDescent="0.25">
      <c r="A33" s="33"/>
      <c r="B33" s="14" t="s">
        <v>20</v>
      </c>
      <c r="C33" s="14" t="s">
        <v>25</v>
      </c>
      <c r="D33" s="56">
        <f>D17*D24</f>
        <v>15000</v>
      </c>
      <c r="E33" s="16">
        <f>E17*E24</f>
        <v>15000</v>
      </c>
      <c r="F33" s="56">
        <f t="shared" ref="F33" si="4">F17*F24</f>
        <v>0</v>
      </c>
      <c r="G33" s="14"/>
      <c r="H33" s="18">
        <f t="shared" ref="H33:H41" si="5">F33+G33</f>
        <v>0</v>
      </c>
      <c r="K33" s="56">
        <f t="shared" ref="K33" si="6">K17*K24</f>
        <v>0</v>
      </c>
      <c r="L33" s="14"/>
      <c r="M33" s="18">
        <f t="shared" ref="M33:M35" si="7">K33+L33</f>
        <v>0</v>
      </c>
    </row>
    <row r="34" spans="1:13" x14ac:dyDescent="0.25">
      <c r="A34" s="33"/>
      <c r="B34" s="14" t="s">
        <v>24</v>
      </c>
      <c r="C34" s="14" t="s">
        <v>25</v>
      </c>
      <c r="D34" s="56">
        <f>D18*D25</f>
        <v>10000</v>
      </c>
      <c r="E34" s="16">
        <f>E18*E25</f>
        <v>5000</v>
      </c>
      <c r="F34" s="61">
        <f>F18*F25</f>
        <v>35000</v>
      </c>
      <c r="G34" s="29">
        <f t="shared" ref="G34" si="8">G18*G25</f>
        <v>18000</v>
      </c>
      <c r="H34" s="76">
        <f t="shared" si="5"/>
        <v>53000</v>
      </c>
      <c r="K34" s="61">
        <f>K18*K25</f>
        <v>35000</v>
      </c>
      <c r="L34" s="29">
        <f t="shared" ref="L34" si="9">L18*L25</f>
        <v>18000</v>
      </c>
      <c r="M34" s="76">
        <f t="shared" si="7"/>
        <v>53000</v>
      </c>
    </row>
    <row r="35" spans="1:13" x14ac:dyDescent="0.25">
      <c r="A35" s="32"/>
      <c r="B35" s="11" t="s">
        <v>9</v>
      </c>
      <c r="C35" s="78" t="s">
        <v>25</v>
      </c>
      <c r="D35" s="87">
        <f t="shared" ref="D35:E35" si="10">D33+D34</f>
        <v>25000</v>
      </c>
      <c r="E35" s="89">
        <f t="shared" si="10"/>
        <v>20000</v>
      </c>
      <c r="F35" s="138">
        <f t="shared" ref="F35:G35" si="11">F33+F34</f>
        <v>35000</v>
      </c>
      <c r="G35" s="135">
        <f t="shared" si="11"/>
        <v>18000</v>
      </c>
      <c r="H35" s="134">
        <f t="shared" si="5"/>
        <v>53000</v>
      </c>
      <c r="K35" s="138">
        <f t="shared" ref="K35:L35" si="12">K33+K34</f>
        <v>35000</v>
      </c>
      <c r="L35" s="135">
        <f t="shared" si="12"/>
        <v>18000</v>
      </c>
      <c r="M35" s="134">
        <f t="shared" si="7"/>
        <v>53000</v>
      </c>
    </row>
    <row r="36" spans="1:13" x14ac:dyDescent="0.25">
      <c r="A36" s="33" t="s">
        <v>70</v>
      </c>
      <c r="B36" s="14"/>
      <c r="C36" s="14"/>
      <c r="D36" s="62"/>
      <c r="E36" s="13"/>
      <c r="F36" s="62"/>
      <c r="G36" s="9"/>
      <c r="H36" s="24"/>
      <c r="K36" s="62"/>
      <c r="L36" s="9"/>
      <c r="M36" s="24"/>
    </row>
    <row r="37" spans="1:13" x14ac:dyDescent="0.25">
      <c r="A37" s="33"/>
      <c r="B37" s="14" t="s">
        <v>1</v>
      </c>
      <c r="C37" s="14" t="s">
        <v>25</v>
      </c>
      <c r="D37" s="56">
        <f>D21*D26</f>
        <v>20833.333333333336</v>
      </c>
      <c r="E37" s="16">
        <f>E21*E26</f>
        <v>20833.333333333336</v>
      </c>
      <c r="F37" s="56">
        <f t="shared" ref="F37" si="13">F21*F26</f>
        <v>20833.333333333336</v>
      </c>
      <c r="G37" s="14"/>
      <c r="H37" s="18">
        <f t="shared" si="5"/>
        <v>20833.333333333336</v>
      </c>
      <c r="K37" s="56">
        <f t="shared" ref="K37" si="14">K21*K26</f>
        <v>4375</v>
      </c>
      <c r="L37" s="14"/>
      <c r="M37" s="18">
        <f t="shared" ref="M37:M41" si="15">K37+L37</f>
        <v>4375</v>
      </c>
    </row>
    <row r="38" spans="1:13" x14ac:dyDescent="0.25">
      <c r="A38" s="33"/>
      <c r="B38" s="72" t="s">
        <v>20</v>
      </c>
      <c r="C38" s="14" t="s">
        <v>25</v>
      </c>
      <c r="D38" s="56"/>
      <c r="E38" s="16"/>
      <c r="F38" s="56"/>
      <c r="G38" s="17">
        <f>G20*G24</f>
        <v>9000</v>
      </c>
      <c r="H38" s="18">
        <f t="shared" si="5"/>
        <v>9000</v>
      </c>
      <c r="K38" s="57">
        <f>K20*K24</f>
        <v>15000</v>
      </c>
      <c r="L38" s="17">
        <f>L20*L24</f>
        <v>9000</v>
      </c>
      <c r="M38" s="18">
        <f t="shared" si="15"/>
        <v>24000</v>
      </c>
    </row>
    <row r="39" spans="1:13" x14ac:dyDescent="0.25">
      <c r="A39" s="33"/>
      <c r="B39" s="14" t="s">
        <v>44</v>
      </c>
      <c r="C39" s="14" t="s">
        <v>25</v>
      </c>
      <c r="D39" s="56">
        <f>D27*D22</f>
        <v>2359.2857142857147</v>
      </c>
      <c r="E39" s="16">
        <f>E27*E22</f>
        <v>2359.2857142857147</v>
      </c>
      <c r="F39" s="56">
        <f t="shared" ref="F39" si="16">F27*F22</f>
        <v>2359.2857142857147</v>
      </c>
      <c r="G39" s="14"/>
      <c r="H39" s="18">
        <f t="shared" si="5"/>
        <v>2359.2857142857147</v>
      </c>
      <c r="K39" s="56">
        <f t="shared" ref="K39" si="17">K27*K22</f>
        <v>495.45000000000005</v>
      </c>
      <c r="L39" s="14"/>
      <c r="M39" s="18">
        <f t="shared" si="15"/>
        <v>495.45000000000005</v>
      </c>
    </row>
    <row r="40" spans="1:13" x14ac:dyDescent="0.25">
      <c r="A40" s="33"/>
      <c r="B40" s="14" t="s">
        <v>28</v>
      </c>
      <c r="C40" s="14" t="s">
        <v>25</v>
      </c>
      <c r="D40" s="56">
        <f>D29*D17</f>
        <v>1750</v>
      </c>
      <c r="E40" s="16">
        <f>E29*E17</f>
        <v>1750</v>
      </c>
      <c r="F40" s="61">
        <f>E40</f>
        <v>1750</v>
      </c>
      <c r="G40" s="11"/>
      <c r="H40" s="76">
        <f t="shared" si="5"/>
        <v>1750</v>
      </c>
      <c r="K40" s="61">
        <f>J40</f>
        <v>0</v>
      </c>
      <c r="L40" s="11"/>
      <c r="M40" s="76">
        <f t="shared" si="15"/>
        <v>0</v>
      </c>
    </row>
    <row r="41" spans="1:13" x14ac:dyDescent="0.25">
      <c r="A41" s="33"/>
      <c r="B41" s="14" t="s">
        <v>9</v>
      </c>
      <c r="C41" s="9" t="s">
        <v>25</v>
      </c>
      <c r="D41" s="63">
        <f>SUM(D37:D40)</f>
        <v>24942.61904761905</v>
      </c>
      <c r="E41" s="21">
        <f>SUM(E37:E40)</f>
        <v>24942.61904761905</v>
      </c>
      <c r="F41" s="57">
        <f t="shared" ref="F41:G41" si="18">SUM(F37:F40)</f>
        <v>24942.61904761905</v>
      </c>
      <c r="G41" s="17">
        <f t="shared" si="18"/>
        <v>9000</v>
      </c>
      <c r="H41" s="18">
        <f t="shared" si="5"/>
        <v>33942.619047619053</v>
      </c>
      <c r="K41" s="57">
        <f t="shared" ref="K41:L41" si="19">SUM(K37:K40)</f>
        <v>19870.45</v>
      </c>
      <c r="L41" s="17">
        <f t="shared" si="19"/>
        <v>9000</v>
      </c>
      <c r="M41" s="18">
        <f t="shared" si="15"/>
        <v>28870.45</v>
      </c>
    </row>
    <row r="42" spans="1:13" x14ac:dyDescent="0.25">
      <c r="A42" s="33"/>
      <c r="B42" s="14" t="s">
        <v>35</v>
      </c>
      <c r="C42" s="14" t="s">
        <v>25</v>
      </c>
      <c r="D42" s="56">
        <f>D28*D18*0.9</f>
        <v>2029.5</v>
      </c>
      <c r="E42" s="16">
        <f>E28*E18*0.9</f>
        <v>1014.75</v>
      </c>
      <c r="F42" s="56">
        <f>F28*F7*F16*0.9/1000</f>
        <v>1014.75</v>
      </c>
      <c r="G42" s="14"/>
      <c r="H42" s="53"/>
      <c r="K42" s="56">
        <f>K7*K16*K28/1000</f>
        <v>1127.5</v>
      </c>
      <c r="L42" s="14"/>
      <c r="M42" s="53"/>
    </row>
    <row r="43" spans="1:13" x14ac:dyDescent="0.25">
      <c r="A43" s="33"/>
      <c r="B43" s="14" t="s">
        <v>20</v>
      </c>
      <c r="C43" s="41" t="s">
        <v>22</v>
      </c>
      <c r="D43" s="58">
        <f>D41/D19</f>
        <v>49.885238095238101</v>
      </c>
      <c r="E43" s="59">
        <f>E41/E19</f>
        <v>66.513650793650797</v>
      </c>
      <c r="F43" s="58"/>
      <c r="G43" s="14"/>
      <c r="H43" s="53"/>
      <c r="K43" s="58"/>
      <c r="L43" s="14"/>
      <c r="M43" s="53"/>
    </row>
    <row r="44" spans="1:13" x14ac:dyDescent="0.25">
      <c r="A44" s="33"/>
      <c r="B44" s="72" t="s">
        <v>24</v>
      </c>
      <c r="C44" s="41" t="s">
        <v>22</v>
      </c>
      <c r="D44" s="58">
        <f>D39/D18+D43</f>
        <v>59.322380952380961</v>
      </c>
      <c r="E44" s="59">
        <f>E39/E18+E43</f>
        <v>85.387936507936516</v>
      </c>
      <c r="F44" s="58">
        <f>F41/F18</f>
        <v>28.505850340136057</v>
      </c>
      <c r="G44" s="14"/>
      <c r="H44" s="53"/>
      <c r="K44" s="58">
        <f>K41/K18</f>
        <v>22.709085714285717</v>
      </c>
      <c r="L44" s="14"/>
      <c r="M44" s="53"/>
    </row>
    <row r="45" spans="1:13" x14ac:dyDescent="0.25">
      <c r="A45" s="31" t="s">
        <v>29</v>
      </c>
      <c r="B45" s="34"/>
      <c r="C45" s="34" t="s">
        <v>25</v>
      </c>
      <c r="D45" s="83">
        <f>D35-D41-D42</f>
        <v>-1972.1190476190495</v>
      </c>
      <c r="E45" s="47">
        <f>E35-E41-E42</f>
        <v>-5957.3690476190495</v>
      </c>
      <c r="F45" s="83">
        <f t="shared" ref="F45:G45" si="20">F35-F41-F42</f>
        <v>9042.6309523809505</v>
      </c>
      <c r="G45" s="46">
        <f t="shared" si="20"/>
        <v>9000</v>
      </c>
      <c r="H45" s="21">
        <f>F45+G45</f>
        <v>18042.63095238095</v>
      </c>
      <c r="K45" s="83">
        <f t="shared" ref="K45:L45" si="21">K35-K41-K42</f>
        <v>14002.05</v>
      </c>
      <c r="L45" s="46">
        <f t="shared" si="21"/>
        <v>9000</v>
      </c>
      <c r="M45" s="21">
        <f>K45+L45</f>
        <v>23002.05</v>
      </c>
    </row>
    <row r="46" spans="1:13" x14ac:dyDescent="0.25">
      <c r="A46" s="150"/>
      <c r="B46" s="145" t="s">
        <v>71</v>
      </c>
      <c r="C46" s="145" t="s">
        <v>25</v>
      </c>
      <c r="D46" s="152">
        <f>D30*D6</f>
        <v>40000</v>
      </c>
      <c r="E46" s="151">
        <f>D46</f>
        <v>40000</v>
      </c>
      <c r="F46" s="152">
        <f>D46</f>
        <v>40000</v>
      </c>
      <c r="G46" s="145"/>
      <c r="H46" s="151">
        <f>F46+G46</f>
        <v>40000</v>
      </c>
      <c r="K46" s="152">
        <f>I46</f>
        <v>0</v>
      </c>
      <c r="L46" s="145"/>
      <c r="M46" s="151">
        <f>K46+L46</f>
        <v>0</v>
      </c>
    </row>
    <row r="47" spans="1:13" x14ac:dyDescent="0.25">
      <c r="A47" s="146"/>
      <c r="B47" s="48" t="s">
        <v>115</v>
      </c>
      <c r="C47" s="48" t="s">
        <v>25</v>
      </c>
      <c r="D47" s="148"/>
      <c r="E47" s="149"/>
      <c r="F47" s="148">
        <f>F8*F31</f>
        <v>0</v>
      </c>
      <c r="G47" s="147">
        <f>G31*G8</f>
        <v>45000</v>
      </c>
      <c r="H47" s="149">
        <f>F47+G47</f>
        <v>45000</v>
      </c>
      <c r="K47" s="148">
        <f>K7*K31</f>
        <v>2500</v>
      </c>
      <c r="L47" s="147">
        <f>L31*L8</f>
        <v>45000</v>
      </c>
      <c r="M47" s="149">
        <f>K47+L47</f>
        <v>47500</v>
      </c>
    </row>
    <row r="48" spans="1:13" x14ac:dyDescent="0.25">
      <c r="A48" s="32" t="s">
        <v>30</v>
      </c>
      <c r="B48" s="11"/>
      <c r="C48" s="78" t="s">
        <v>25</v>
      </c>
      <c r="D48" s="131">
        <f t="shared" ref="D48:E48" si="22">SUM(D46:D47)</f>
        <v>40000</v>
      </c>
      <c r="E48" s="130">
        <f t="shared" si="22"/>
        <v>40000</v>
      </c>
      <c r="F48" s="63">
        <f>SUM(F46:F47)</f>
        <v>40000</v>
      </c>
      <c r="G48" s="20">
        <f>SUM(G46:G47)</f>
        <v>45000</v>
      </c>
      <c r="H48" s="21">
        <f>SUM(H46:H47)</f>
        <v>85000</v>
      </c>
      <c r="K48" s="63">
        <f>SUM(K46:K47)</f>
        <v>2500</v>
      </c>
      <c r="L48" s="20">
        <f>SUM(L46:L47)</f>
        <v>45000</v>
      </c>
      <c r="M48" s="21">
        <f>SUM(M46:M47)</f>
        <v>47500</v>
      </c>
    </row>
    <row r="49" spans="1:13" x14ac:dyDescent="0.25">
      <c r="A49" s="33"/>
      <c r="B49" s="48" t="s">
        <v>45</v>
      </c>
      <c r="C49" s="14" t="s">
        <v>25</v>
      </c>
      <c r="D49" s="56">
        <f t="shared" ref="D49:E49" si="23">-PMT(5%,30,D48)</f>
        <v>2602.0574032110635</v>
      </c>
      <c r="E49" s="15">
        <f t="shared" si="23"/>
        <v>2602.0574032110635</v>
      </c>
      <c r="F49" s="62">
        <f t="shared" ref="F49:G49" si="24">-PMT(5%,30,F48)</f>
        <v>2602.0574032110635</v>
      </c>
      <c r="G49" s="12">
        <f t="shared" si="24"/>
        <v>2927.314578612446</v>
      </c>
      <c r="H49" s="21">
        <f>F49+G49</f>
        <v>5529.3719818235095</v>
      </c>
      <c r="K49" s="62">
        <f t="shared" ref="K49:L49" si="25">-PMT(5%,30,K48)</f>
        <v>162.62858770069147</v>
      </c>
      <c r="L49" s="12">
        <f t="shared" si="25"/>
        <v>2927.314578612446</v>
      </c>
      <c r="M49" s="21">
        <f>K49+L49</f>
        <v>3089.9431663131372</v>
      </c>
    </row>
    <row r="50" spans="1:13" x14ac:dyDescent="0.25">
      <c r="A50" s="32"/>
      <c r="B50" s="11" t="s">
        <v>69</v>
      </c>
      <c r="C50" s="19" t="s">
        <v>22</v>
      </c>
      <c r="D50" s="65">
        <f>D49/D17</f>
        <v>10.408229612844254</v>
      </c>
      <c r="E50" s="44">
        <f>E49/E17</f>
        <v>10.408229612844254</v>
      </c>
      <c r="F50" s="58">
        <f>F49/F18</f>
        <v>2.9737798893840726</v>
      </c>
      <c r="G50" s="77">
        <f>G49/G18</f>
        <v>6.5051435080276576</v>
      </c>
      <c r="H50" s="59">
        <f>H49/H18</f>
        <v>4.1731109296781206</v>
      </c>
      <c r="K50" s="58">
        <f>K49/K18</f>
        <v>0.18586124308650454</v>
      </c>
      <c r="L50" s="77">
        <f>L49/L18</f>
        <v>6.5051435080276576</v>
      </c>
      <c r="M50" s="59">
        <f>M49/M18</f>
        <v>2.3320325783495375</v>
      </c>
    </row>
    <row r="51" spans="1:13" x14ac:dyDescent="0.25">
      <c r="A51" s="33" t="s">
        <v>48</v>
      </c>
      <c r="B51" s="14"/>
      <c r="C51" s="41" t="s">
        <v>25</v>
      </c>
      <c r="D51" s="139">
        <f>D41+D49</f>
        <v>27544.676450830113</v>
      </c>
      <c r="E51" s="132">
        <f>E41+E49</f>
        <v>27544.676450830113</v>
      </c>
      <c r="F51" s="139">
        <f t="shared" ref="F51:H51" si="26">F41+F42+F49</f>
        <v>28559.426450830113</v>
      </c>
      <c r="G51" s="132">
        <f t="shared" si="26"/>
        <v>11927.314578612446</v>
      </c>
      <c r="H51" s="134">
        <f t="shared" si="26"/>
        <v>39471.991029442564</v>
      </c>
      <c r="K51" s="139">
        <f>K41+K42+K49</f>
        <v>21160.578587700693</v>
      </c>
      <c r="L51" s="132">
        <f t="shared" ref="L51:M51" si="27">L41+L42+L49</f>
        <v>11927.314578612446</v>
      </c>
      <c r="M51" s="134">
        <f t="shared" si="27"/>
        <v>31960.393166313137</v>
      </c>
    </row>
    <row r="52" spans="1:13" x14ac:dyDescent="0.25">
      <c r="A52" s="33"/>
      <c r="B52" s="48" t="s">
        <v>20</v>
      </c>
      <c r="C52" s="48" t="s">
        <v>22</v>
      </c>
      <c r="D52" s="90">
        <f>D43+D50</f>
        <v>60.293467708082353</v>
      </c>
      <c r="E52" s="91">
        <f>E43+E50</f>
        <v>76.921880406495049</v>
      </c>
      <c r="F52" s="90"/>
      <c r="G52" s="14"/>
      <c r="H52" s="53"/>
      <c r="K52" s="90"/>
      <c r="L52" s="14"/>
      <c r="M52" s="53"/>
    </row>
    <row r="53" spans="1:13" x14ac:dyDescent="0.25">
      <c r="A53" s="33"/>
      <c r="B53" s="48" t="s">
        <v>24</v>
      </c>
      <c r="C53" s="48" t="s">
        <v>22</v>
      </c>
      <c r="D53" s="140">
        <f>D44</f>
        <v>59.322380952380961</v>
      </c>
      <c r="E53" s="136">
        <f>E44</f>
        <v>85.387936507936516</v>
      </c>
      <c r="F53" s="93">
        <f t="shared" ref="F53:H53" si="28">F51/F19</f>
        <v>32.639344515234413</v>
      </c>
      <c r="G53" s="94">
        <f t="shared" si="28"/>
        <v>26.505143508027658</v>
      </c>
      <c r="H53" s="95">
        <f t="shared" si="28"/>
        <v>29.790181909013256</v>
      </c>
      <c r="K53" s="93">
        <f>K51/K19</f>
        <v>24.18351838594365</v>
      </c>
      <c r="L53" s="94">
        <f t="shared" ref="L53:M53" si="29">L51/L19</f>
        <v>26.505143508027658</v>
      </c>
      <c r="M53" s="95">
        <f t="shared" si="29"/>
        <v>24.121051446274066</v>
      </c>
    </row>
    <row r="54" spans="1:13" x14ac:dyDescent="0.25">
      <c r="A54" s="79" t="s">
        <v>32</v>
      </c>
      <c r="B54" s="78"/>
      <c r="C54" s="80" t="s">
        <v>33</v>
      </c>
      <c r="D54" s="66">
        <f>D48/D45</f>
        <v>-20.282751210324868</v>
      </c>
      <c r="E54" s="67">
        <f>E48/E45</f>
        <v>-6.7143733551284006</v>
      </c>
      <c r="F54" s="71">
        <f t="shared" ref="F54:H54" si="30">F48/F45</f>
        <v>4.4234913722170521</v>
      </c>
      <c r="G54" s="42">
        <f t="shared" si="30"/>
        <v>5</v>
      </c>
      <c r="H54" s="43">
        <f t="shared" si="30"/>
        <v>4.7110646016280233</v>
      </c>
      <c r="K54" s="71">
        <f t="shared" ref="K54:M54" si="31">K48/K45</f>
        <v>0.17854528444049264</v>
      </c>
      <c r="L54" s="42">
        <f t="shared" si="31"/>
        <v>5</v>
      </c>
      <c r="M54" s="43">
        <f t="shared" si="31"/>
        <v>2.0650333339854492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Sähkö</vt:lpstr>
      <vt:lpstr>Lämpö</vt:lpstr>
      <vt:lpstr>CHP</vt:lpstr>
      <vt:lpstr>Ydinlämmitys</vt:lpstr>
      <vt:lpstr>Ydinlämmitys 2</vt:lpstr>
      <vt:lpstr>20 MW 35 MW</vt:lpstr>
      <vt:lpstr>Hybridilämmitys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</dc:creator>
  <cp:lastModifiedBy>Asko</cp:lastModifiedBy>
  <cp:lastPrinted>2012-11-11T08:12:31Z</cp:lastPrinted>
  <dcterms:created xsi:type="dcterms:W3CDTF">2012-10-25T09:55:38Z</dcterms:created>
  <dcterms:modified xsi:type="dcterms:W3CDTF">2013-01-16T08:43:23Z</dcterms:modified>
</cp:coreProperties>
</file>