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12705" windowHeight="8325"/>
  </bookViews>
  <sheets>
    <sheet name="vertailu" sheetId="2" r:id="rId1"/>
  </sheets>
  <calcPr calcId="145621"/>
</workbook>
</file>

<file path=xl/calcChain.xml><?xml version="1.0" encoding="utf-8"?>
<calcChain xmlns="http://schemas.openxmlformats.org/spreadsheetml/2006/main">
  <c r="H58" i="2" l="1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I20" i="2"/>
  <c r="G58" i="2"/>
  <c r="F58" i="2"/>
  <c r="G57" i="2"/>
  <c r="F57" i="2"/>
  <c r="G56" i="2"/>
  <c r="F56" i="2"/>
  <c r="G55" i="2"/>
  <c r="F55" i="2"/>
  <c r="G54" i="2"/>
  <c r="F54" i="2"/>
  <c r="G53" i="2"/>
  <c r="F53" i="2"/>
  <c r="G52" i="2"/>
  <c r="F52" i="2"/>
  <c r="G51" i="2"/>
  <c r="F51" i="2"/>
  <c r="G50" i="2"/>
  <c r="F50" i="2"/>
  <c r="G49" i="2"/>
  <c r="F49" i="2"/>
  <c r="G48" i="2"/>
  <c r="F48" i="2"/>
  <c r="G47" i="2"/>
  <c r="F47" i="2"/>
  <c r="G46" i="2"/>
  <c r="F46" i="2"/>
  <c r="G45" i="2"/>
  <c r="F45" i="2"/>
  <c r="G44" i="2"/>
  <c r="F44" i="2"/>
  <c r="G43" i="2"/>
  <c r="F43" i="2"/>
  <c r="G42" i="2"/>
  <c r="F42" i="2"/>
  <c r="G41" i="2"/>
  <c r="F41" i="2"/>
  <c r="G40" i="2"/>
  <c r="F40" i="2"/>
  <c r="G39" i="2"/>
  <c r="F39" i="2"/>
  <c r="G38" i="2"/>
  <c r="F38" i="2"/>
  <c r="G37" i="2"/>
  <c r="F37" i="2"/>
  <c r="G36" i="2"/>
  <c r="F36" i="2"/>
  <c r="G35" i="2"/>
  <c r="F35" i="2"/>
  <c r="G34" i="2"/>
  <c r="F34" i="2"/>
  <c r="G33" i="2"/>
  <c r="F33" i="2"/>
  <c r="G32" i="2"/>
  <c r="F32" i="2"/>
  <c r="G31" i="2"/>
  <c r="F31" i="2"/>
  <c r="G30" i="2"/>
  <c r="F30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H21" i="2"/>
  <c r="G21" i="2"/>
  <c r="F21" i="2"/>
  <c r="D21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E21" i="2" l="1"/>
  <c r="H154" i="2" l="1"/>
  <c r="H156" i="2" s="1"/>
  <c r="E109" i="2"/>
  <c r="E112" i="2" s="1"/>
  <c r="E115" i="2" s="1"/>
  <c r="E154" i="2" s="1"/>
  <c r="E156" i="2" s="1"/>
  <c r="E157" i="2" s="1"/>
  <c r="D109" i="2"/>
  <c r="H109" i="2"/>
  <c r="H150" i="2" s="1"/>
  <c r="H152" i="2" s="1"/>
  <c r="I109" i="2"/>
  <c r="G109" i="2"/>
  <c r="F109" i="2"/>
  <c r="F112" i="2" s="1"/>
  <c r="E129" i="2"/>
  <c r="E125" i="2"/>
  <c r="I19" i="2"/>
  <c r="I18" i="2"/>
  <c r="I17" i="2"/>
  <c r="I16" i="2"/>
  <c r="I15" i="2"/>
  <c r="G14" i="2"/>
  <c r="I14" i="2" s="1"/>
  <c r="G13" i="2"/>
  <c r="I13" i="2" s="1"/>
  <c r="G12" i="2"/>
  <c r="I12" i="2" s="1"/>
  <c r="G11" i="2"/>
  <c r="I11" i="2" s="1"/>
  <c r="G10" i="2"/>
  <c r="I10" i="2" s="1"/>
  <c r="C18" i="2"/>
  <c r="C19" i="2" l="1"/>
  <c r="H157" i="2"/>
  <c r="E130" i="2"/>
  <c r="I30" i="2"/>
  <c r="I151" i="2"/>
  <c r="D112" i="2"/>
  <c r="D115" i="2" s="1"/>
  <c r="D154" i="2" s="1"/>
  <c r="D156" i="2" s="1"/>
  <c r="G150" i="2"/>
  <c r="G152" i="2" s="1"/>
  <c r="I150" i="2"/>
  <c r="I154" i="2"/>
  <c r="I156" i="2" s="1"/>
  <c r="F156" i="2"/>
  <c r="F157" i="2" s="1"/>
  <c r="G154" i="2"/>
  <c r="G156" i="2" s="1"/>
  <c r="H129" i="2"/>
  <c r="I129" i="2"/>
  <c r="F129" i="2"/>
  <c r="G129" i="2"/>
  <c r="D129" i="2"/>
  <c r="H125" i="2"/>
  <c r="I125" i="2"/>
  <c r="F125" i="2"/>
  <c r="G125" i="2"/>
  <c r="D125" i="2"/>
  <c r="H115" i="2"/>
  <c r="I115" i="2"/>
  <c r="F115" i="2"/>
  <c r="F154" i="2" s="1"/>
  <c r="G115" i="2"/>
  <c r="C31" i="2"/>
  <c r="E23" i="2" l="1"/>
  <c r="G132" i="2" s="1"/>
  <c r="C32" i="2"/>
  <c r="I31" i="2"/>
  <c r="I21" i="2" s="1"/>
  <c r="I130" i="2"/>
  <c r="D130" i="2"/>
  <c r="G130" i="2"/>
  <c r="F130" i="2"/>
  <c r="H130" i="2"/>
  <c r="D157" i="2"/>
  <c r="H158" i="2" s="1"/>
  <c r="F23" i="2"/>
  <c r="I133" i="2" s="1"/>
  <c r="I137" i="2" s="1"/>
  <c r="G157" i="2"/>
  <c r="D23" i="2"/>
  <c r="D135" i="2" s="1"/>
  <c r="E135" i="2" s="1"/>
  <c r="I152" i="2"/>
  <c r="I157" i="2" s="1"/>
  <c r="C33" i="2"/>
  <c r="I158" i="2" l="1"/>
  <c r="H23" i="2"/>
  <c r="F88" i="2"/>
  <c r="D88" i="2"/>
  <c r="I33" i="2"/>
  <c r="F135" i="2"/>
  <c r="G135" i="2" s="1"/>
  <c r="E138" i="2"/>
  <c r="E140" i="2" s="1"/>
  <c r="E141" i="2" s="1"/>
  <c r="I32" i="2"/>
  <c r="D158" i="2"/>
  <c r="E158" i="2"/>
  <c r="G158" i="2"/>
  <c r="G23" i="2"/>
  <c r="H134" i="2" s="1"/>
  <c r="G88" i="2"/>
  <c r="F158" i="2"/>
  <c r="E88" i="2"/>
  <c r="C34" i="2"/>
  <c r="H88" i="2"/>
  <c r="I23" i="2" l="1"/>
  <c r="I34" i="2"/>
  <c r="I135" i="2"/>
  <c r="G138" i="2"/>
  <c r="G89" i="2"/>
  <c r="F89" i="2"/>
  <c r="D89" i="2"/>
  <c r="E89" i="2"/>
  <c r="H89" i="2"/>
  <c r="C35" i="2"/>
  <c r="I35" i="2" l="1"/>
  <c r="E90" i="2"/>
  <c r="H135" i="2"/>
  <c r="H138" i="2" s="1"/>
  <c r="I138" i="2"/>
  <c r="G90" i="2"/>
  <c r="D90" i="2"/>
  <c r="H90" i="2"/>
  <c r="F90" i="2"/>
  <c r="C36" i="2"/>
  <c r="D91" i="2" l="1"/>
  <c r="I36" i="2"/>
  <c r="G91" i="2"/>
  <c r="F91" i="2"/>
  <c r="H91" i="2"/>
  <c r="E91" i="2"/>
  <c r="C37" i="2"/>
  <c r="I37" i="2" l="1"/>
  <c r="G92" i="2"/>
  <c r="D92" i="2"/>
  <c r="H92" i="2"/>
  <c r="E92" i="2"/>
  <c r="C38" i="2"/>
  <c r="F92" i="2"/>
  <c r="F93" i="2" l="1"/>
  <c r="I140" i="2" s="1"/>
  <c r="I141" i="2" s="1"/>
  <c r="I38" i="2"/>
  <c r="G93" i="2"/>
  <c r="D93" i="2"/>
  <c r="C39" i="2"/>
  <c r="E93" i="2"/>
  <c r="G137" i="2" s="1"/>
  <c r="G140" i="2" s="1"/>
  <c r="G141" i="2" s="1"/>
  <c r="H93" i="2"/>
  <c r="H137" i="2" s="1"/>
  <c r="H140" i="2" s="1"/>
  <c r="H141" i="2" s="1"/>
  <c r="F94" i="2" l="1"/>
  <c r="I39" i="2"/>
  <c r="E94" i="2"/>
  <c r="G94" i="2"/>
  <c r="D94" i="2"/>
  <c r="D138" i="2"/>
  <c r="D140" i="2" s="1"/>
  <c r="D141" i="2" s="1"/>
  <c r="F138" i="2"/>
  <c r="F140" i="2" s="1"/>
  <c r="F141" i="2" s="1"/>
  <c r="H94" i="2"/>
  <c r="C40" i="2"/>
  <c r="F95" i="2" l="1"/>
  <c r="D95" i="2"/>
  <c r="I40" i="2"/>
  <c r="D142" i="2"/>
  <c r="E142" i="2"/>
  <c r="G142" i="2"/>
  <c r="G95" i="2"/>
  <c r="E95" i="2"/>
  <c r="C41" i="2"/>
  <c r="H95" i="2"/>
  <c r="I142" i="2"/>
  <c r="F142" i="2"/>
  <c r="H142" i="2"/>
  <c r="F96" i="2" l="1"/>
  <c r="I41" i="2"/>
  <c r="G96" i="2"/>
  <c r="D96" i="2"/>
  <c r="H96" i="2"/>
  <c r="E96" i="2"/>
  <c r="C42" i="2"/>
  <c r="I42" i="2" l="1"/>
  <c r="E97" i="2"/>
  <c r="G97" i="2"/>
  <c r="F97" i="2"/>
  <c r="D97" i="2"/>
  <c r="H97" i="2"/>
  <c r="C43" i="2"/>
  <c r="F98" i="2" l="1"/>
  <c r="I43" i="2"/>
  <c r="E98" i="2"/>
  <c r="D98" i="2"/>
  <c r="G98" i="2"/>
  <c r="H98" i="2"/>
  <c r="C44" i="2"/>
  <c r="I44" i="2" l="1"/>
  <c r="C45" i="2"/>
  <c r="I45" i="2" l="1"/>
  <c r="C46" i="2"/>
  <c r="I46" i="2" l="1"/>
  <c r="C47" i="2"/>
  <c r="I47" i="2" l="1"/>
  <c r="C48" i="2"/>
  <c r="I48" i="2" l="1"/>
  <c r="C49" i="2"/>
  <c r="I49" i="2" l="1"/>
  <c r="C50" i="2"/>
  <c r="I50" i="2" l="1"/>
  <c r="C51" i="2"/>
  <c r="I51" i="2" l="1"/>
  <c r="C52" i="2"/>
  <c r="I52" i="2" l="1"/>
  <c r="C53" i="2"/>
  <c r="I53" i="2" l="1"/>
  <c r="C54" i="2"/>
  <c r="I54" i="2" l="1"/>
  <c r="C55" i="2"/>
  <c r="I55" i="2" l="1"/>
  <c r="C56" i="2"/>
  <c r="I56" i="2" l="1"/>
  <c r="C57" i="2"/>
  <c r="I57" i="2" l="1"/>
  <c r="C58" i="2"/>
  <c r="I58" i="2" l="1"/>
</calcChain>
</file>

<file path=xl/sharedStrings.xml><?xml version="1.0" encoding="utf-8"?>
<sst xmlns="http://schemas.openxmlformats.org/spreadsheetml/2006/main" count="191" uniqueCount="89">
  <si>
    <t>Yhteensä</t>
  </si>
  <si>
    <t>Vuosi</t>
  </si>
  <si>
    <t>Hyötysuhde</t>
  </si>
  <si>
    <t>eur/MWh</t>
  </si>
  <si>
    <t>Nousu/v</t>
  </si>
  <si>
    <t xml:space="preserve">Kauko- </t>
  </si>
  <si>
    <t>lämpö</t>
  </si>
  <si>
    <t xml:space="preserve">Kevyt  </t>
  </si>
  <si>
    <t xml:space="preserve"> polttoöljy</t>
  </si>
  <si>
    <t>Suora</t>
  </si>
  <si>
    <t>sähkö</t>
  </si>
  <si>
    <t xml:space="preserve">Raskas  </t>
  </si>
  <si>
    <t>polttoöljy</t>
  </si>
  <si>
    <t>Trendi</t>
  </si>
  <si>
    <t>toteutuneet kesäkuun hinnat</t>
  </si>
  <si>
    <t>Huoneistoala</t>
  </si>
  <si>
    <t>m2</t>
  </si>
  <si>
    <t>Lämmönkulutus</t>
  </si>
  <si>
    <t>kWh</t>
  </si>
  <si>
    <t>Öljyn kulutus</t>
  </si>
  <si>
    <t>litra</t>
  </si>
  <si>
    <t>-</t>
  </si>
  <si>
    <t>Sähkönkulutus</t>
  </si>
  <si>
    <t> - Lämmityssähkö</t>
  </si>
  <si>
    <t> - Kiinteistösähkö</t>
  </si>
  <si>
    <t> - Taloussähkö</t>
  </si>
  <si>
    <t> - Yhteensä</t>
  </si>
  <si>
    <t>Investoinnit</t>
  </si>
  <si>
    <t>eur</t>
  </si>
  <si>
    <t> - Patteriverkosto</t>
  </si>
  <si>
    <t> - Liittymismaksut</t>
  </si>
  <si>
    <t> - Sekalaiset</t>
  </si>
  <si>
    <t>eur/l</t>
  </si>
  <si>
    <t>c/kWh</t>
  </si>
  <si>
    <t>- Pitoaika</t>
  </si>
  <si>
    <t>v</t>
  </si>
  <si>
    <t>- Laskentakorko</t>
  </si>
  <si>
    <t>%</t>
  </si>
  <si>
    <t>- Annuiteetti</t>
  </si>
  <si>
    <t>Suora-</t>
  </si>
  <si>
    <t>pumppu</t>
  </si>
  <si>
    <t>Kauko-</t>
  </si>
  <si>
    <t>Öljy-</t>
  </si>
  <si>
    <t>Lämmitystapa</t>
  </si>
  <si>
    <t>Puu-</t>
  </si>
  <si>
    <t>pelletti</t>
  </si>
  <si>
    <t>Pääomakustannus</t>
  </si>
  <si>
    <t> - Lämpökeskus</t>
  </si>
  <si>
    <t>Kokonaiskulut</t>
  </si>
  <si>
    <t> - Säiliö/Siilo</t>
  </si>
  <si>
    <t>Pelletti-</t>
  </si>
  <si>
    <t>Lämmöntuotanto</t>
  </si>
  <si>
    <t> - ominaispäästö</t>
  </si>
  <si>
    <t>g/kWh</t>
  </si>
  <si>
    <t> - päästö vuodessa</t>
  </si>
  <si>
    <t>kg</t>
  </si>
  <si>
    <t>Sähköntuotanto</t>
  </si>
  <si>
    <t>Kokonaispäästö</t>
  </si>
  <si>
    <t xml:space="preserve"> - sähkön tarve</t>
  </si>
  <si>
    <t>Hinnat</t>
  </si>
  <si>
    <t xml:space="preserve"> - Sähkö</t>
  </si>
  <si>
    <t xml:space="preserve"> - Kaukolämpö</t>
  </si>
  <si>
    <t> - Öljy</t>
  </si>
  <si>
    <t xml:space="preserve"> - Pelletit</t>
  </si>
  <si>
    <t xml:space="preserve"> - Polttoaineet</t>
  </si>
  <si>
    <t xml:space="preserve"> - Käyttö</t>
  </si>
  <si>
    <t>Indeksi</t>
  </si>
  <si>
    <t> - Sähköenergia</t>
  </si>
  <si>
    <t>lämmitys</t>
  </si>
  <si>
    <t> - Maaputkisto</t>
  </si>
  <si>
    <t> - Lämmönjakotila</t>
  </si>
  <si>
    <t>Poltto-</t>
  </si>
  <si>
    <t>hake</t>
  </si>
  <si>
    <t>Keski-</t>
  </si>
  <si>
    <t>arvo</t>
  </si>
  <si>
    <t>€/MWh</t>
  </si>
  <si>
    <t>Ennuste</t>
  </si>
  <si>
    <t>Ilma-</t>
  </si>
  <si>
    <t>Maa-</t>
  </si>
  <si>
    <t>lämpö-</t>
  </si>
  <si>
    <t xml:space="preserve"> - Lämpöpumppu</t>
  </si>
  <si>
    <t xml:space="preserve"> - Yhteensä</t>
  </si>
  <si>
    <t>Käyttömenot</t>
  </si>
  <si>
    <t>Ilmalämpö-</t>
  </si>
  <si>
    <t>Maalämpö-</t>
  </si>
  <si>
    <t xml:space="preserve"> - CO2-päästö</t>
  </si>
  <si>
    <t xml:space="preserve"> - Lämmön tarve</t>
  </si>
  <si>
    <t> - Ominaispäästö</t>
  </si>
  <si>
    <t>Lämmitystapavertailu 2020 hinnoilla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</si>
</sst>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€_-;\-* #,##0.00\ _€_-;_-* &quot;-&quot;??\ _€_-;_-@_-"/>
    <numFmt numFmtId="165" formatCode="0.0"/>
    <numFmt numFmtId="166" formatCode="0.0%"/>
    <numFmt numFmtId="167" formatCode="_-* #,##0.0\ _€_-;\-* #,##0.0\ _€_-;_-* &quot;-&quot;??\ _€_-;_-@_-"/>
  </numFmts>
  <fonts count="8" x14ac:knownFonts="1">
    <font>
      <sz val="10"/>
      <name val="Arial"/>
    </font>
    <font>
      <sz val="10"/>
      <name val="Arial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name val="Arial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3" fillId="0" borderId="1" xfId="0" applyFont="1" applyBorder="1" applyAlignment="1">
      <alignment horizontal="center" wrapText="1"/>
    </xf>
    <xf numFmtId="9" fontId="0" fillId="0" borderId="0" xfId="2" applyFont="1" applyAlignment="1">
      <alignment horizontal="center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165" fontId="2" fillId="0" borderId="0" xfId="0" applyNumberFormat="1" applyFont="1" applyBorder="1" applyAlignment="1">
      <alignment horizontal="center" wrapText="1"/>
    </xf>
    <xf numFmtId="165" fontId="0" fillId="0" borderId="0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Border="1" applyAlignment="1">
      <alignment horizontal="center" wrapText="1"/>
    </xf>
    <xf numFmtId="3" fontId="6" fillId="0" borderId="0" xfId="0" applyNumberFormat="1" applyFont="1" applyBorder="1" applyAlignment="1">
      <alignment horizontal="center" wrapText="1"/>
    </xf>
    <xf numFmtId="165" fontId="5" fillId="0" borderId="3" xfId="0" applyNumberFormat="1" applyFont="1" applyBorder="1" applyAlignment="1">
      <alignment horizontal="center"/>
    </xf>
    <xf numFmtId="9" fontId="6" fillId="0" borderId="0" xfId="0" applyNumberFormat="1" applyFont="1" applyBorder="1" applyAlignment="1">
      <alignment horizontal="center" wrapText="1"/>
    </xf>
    <xf numFmtId="39" fontId="6" fillId="0" borderId="0" xfId="0" applyNumberFormat="1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5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165" fontId="6" fillId="0" borderId="5" xfId="0" applyNumberFormat="1" applyFont="1" applyBorder="1" applyAlignment="1">
      <alignment horizontal="center" wrapText="1"/>
    </xf>
    <xf numFmtId="0" fontId="6" fillId="0" borderId="7" xfId="0" applyFont="1" applyBorder="1" applyAlignment="1">
      <alignment horizontal="left" wrapText="1"/>
    </xf>
    <xf numFmtId="0" fontId="6" fillId="0" borderId="8" xfId="0" applyFont="1" applyBorder="1" applyAlignment="1">
      <alignment horizontal="center" wrapText="1"/>
    </xf>
    <xf numFmtId="3" fontId="6" fillId="0" borderId="8" xfId="0" applyNumberFormat="1" applyFont="1" applyBorder="1" applyAlignment="1">
      <alignment horizontal="center" wrapText="1"/>
    </xf>
    <xf numFmtId="9" fontId="6" fillId="0" borderId="8" xfId="0" applyNumberFormat="1" applyFont="1" applyBorder="1" applyAlignment="1">
      <alignment horizontal="center" wrapText="1"/>
    </xf>
    <xf numFmtId="39" fontId="6" fillId="0" borderId="8" xfId="0" applyNumberFormat="1" applyFont="1" applyBorder="1" applyAlignment="1">
      <alignment horizontal="center" wrapText="1"/>
    </xf>
    <xf numFmtId="165" fontId="6" fillId="0" borderId="0" xfId="0" applyNumberFormat="1" applyFont="1" applyBorder="1" applyAlignment="1">
      <alignment horizontal="center" wrapText="1"/>
    </xf>
    <xf numFmtId="165" fontId="6" fillId="0" borderId="8" xfId="0" applyNumberFormat="1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1" fontId="6" fillId="0" borderId="0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6" fillId="0" borderId="0" xfId="0" applyFont="1" applyBorder="1" applyAlignment="1">
      <alignment wrapText="1"/>
    </xf>
    <xf numFmtId="0" fontId="6" fillId="0" borderId="0" xfId="0" applyFont="1" applyFill="1" applyBorder="1" applyAlignment="1">
      <alignment horizontal="left" wrapText="1"/>
    </xf>
    <xf numFmtId="9" fontId="0" fillId="0" borderId="0" xfId="2" applyFont="1" applyBorder="1" applyAlignment="1">
      <alignment horizontal="center"/>
    </xf>
    <xf numFmtId="0" fontId="6" fillId="0" borderId="4" xfId="0" applyFont="1" applyBorder="1" applyAlignment="1">
      <alignment horizontal="left" vertical="center" wrapText="1"/>
    </xf>
    <xf numFmtId="0" fontId="0" fillId="0" borderId="0" xfId="0" applyAlignment="1">
      <alignment vertical="top"/>
    </xf>
    <xf numFmtId="166" fontId="2" fillId="0" borderId="0" xfId="0" applyNumberFormat="1" applyFont="1" applyBorder="1" applyAlignment="1">
      <alignment horizontal="center" wrapText="1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0" fillId="0" borderId="14" xfId="0" applyBorder="1"/>
    <xf numFmtId="0" fontId="3" fillId="0" borderId="15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5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0" fillId="0" borderId="14" xfId="0" applyBorder="1" applyAlignment="1">
      <alignment horizontal="center"/>
    </xf>
    <xf numFmtId="165" fontId="0" fillId="0" borderId="15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165" fontId="0" fillId="0" borderId="17" xfId="0" applyNumberFormat="1" applyBorder="1" applyAlignment="1">
      <alignment horizontal="center"/>
    </xf>
    <xf numFmtId="0" fontId="5" fillId="0" borderId="20" xfId="0" applyFont="1" applyBorder="1" applyAlignment="1">
      <alignment horizontal="center"/>
    </xf>
    <xf numFmtId="165" fontId="5" fillId="0" borderId="21" xfId="0" applyNumberFormat="1" applyFont="1" applyBorder="1" applyAlignment="1">
      <alignment horizontal="center"/>
    </xf>
    <xf numFmtId="0" fontId="0" fillId="0" borderId="18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19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10" xfId="0" applyFont="1" applyBorder="1" applyAlignment="1">
      <alignment horizontal="center" wrapText="1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 wrapText="1"/>
    </xf>
    <xf numFmtId="0" fontId="0" fillId="0" borderId="23" xfId="0" applyBorder="1" applyAlignment="1">
      <alignment horizontal="center"/>
    </xf>
    <xf numFmtId="165" fontId="0" fillId="0" borderId="23" xfId="0" applyNumberFormat="1" applyBorder="1" applyAlignment="1">
      <alignment horizontal="center"/>
    </xf>
    <xf numFmtId="166" fontId="3" fillId="0" borderId="5" xfId="0" applyNumberFormat="1" applyFont="1" applyBorder="1" applyAlignment="1">
      <alignment horizontal="center" wrapText="1"/>
    </xf>
    <xf numFmtId="166" fontId="3" fillId="0" borderId="22" xfId="0" applyNumberFormat="1" applyFont="1" applyBorder="1" applyAlignment="1">
      <alignment horizontal="center" wrapText="1"/>
    </xf>
    <xf numFmtId="167" fontId="5" fillId="0" borderId="10" xfId="1" applyNumberFormat="1" applyFont="1" applyBorder="1" applyAlignment="1">
      <alignment horizontal="center"/>
    </xf>
    <xf numFmtId="167" fontId="5" fillId="0" borderId="24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3" fontId="6" fillId="0" borderId="7" xfId="0" applyNumberFormat="1" applyFont="1" applyBorder="1" applyAlignment="1">
      <alignment horizontal="center" wrapText="1"/>
    </xf>
    <xf numFmtId="9" fontId="6" fillId="0" borderId="7" xfId="0" applyNumberFormat="1" applyFont="1" applyBorder="1" applyAlignment="1">
      <alignment horizontal="center" wrapText="1"/>
    </xf>
    <xf numFmtId="39" fontId="6" fillId="0" borderId="7" xfId="0" applyNumberFormat="1" applyFont="1" applyBorder="1" applyAlignment="1">
      <alignment horizontal="center" wrapText="1"/>
    </xf>
    <xf numFmtId="165" fontId="6" fillId="0" borderId="7" xfId="0" applyNumberFormat="1" applyFont="1" applyBorder="1" applyAlignment="1">
      <alignment horizontal="center" wrapText="1"/>
    </xf>
    <xf numFmtId="165" fontId="6" fillId="0" borderId="4" xfId="0" applyNumberFormat="1" applyFont="1" applyBorder="1" applyAlignment="1">
      <alignment horizontal="center" wrapText="1"/>
    </xf>
    <xf numFmtId="165" fontId="6" fillId="0" borderId="6" xfId="0" applyNumberFormat="1" applyFont="1" applyBorder="1" applyAlignment="1">
      <alignment horizontal="center" wrapText="1"/>
    </xf>
    <xf numFmtId="1" fontId="6" fillId="0" borderId="7" xfId="0" applyNumberFormat="1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7" fillId="0" borderId="12" xfId="0" applyFont="1" applyBorder="1" applyAlignment="1">
      <alignment horizontal="left" wrapText="1"/>
    </xf>
    <xf numFmtId="0" fontId="7" fillId="0" borderId="3" xfId="0" applyFont="1" applyBorder="1" applyAlignment="1">
      <alignment horizontal="center" wrapText="1"/>
    </xf>
    <xf numFmtId="3" fontId="7" fillId="0" borderId="3" xfId="0" applyNumberFormat="1" applyFont="1" applyBorder="1" applyAlignment="1">
      <alignment horizontal="center" wrapText="1"/>
    </xf>
    <xf numFmtId="3" fontId="7" fillId="0" borderId="13" xfId="0" applyNumberFormat="1" applyFont="1" applyBorder="1" applyAlignment="1">
      <alignment horizontal="center" wrapText="1"/>
    </xf>
    <xf numFmtId="3" fontId="7" fillId="0" borderId="12" xfId="0" applyNumberFormat="1" applyFont="1" applyBorder="1" applyAlignment="1">
      <alignment horizontal="center" wrapText="1"/>
    </xf>
    <xf numFmtId="165" fontId="6" fillId="0" borderId="0" xfId="1" applyNumberFormat="1" applyFont="1" applyBorder="1" applyAlignment="1">
      <alignment horizontal="center" wrapText="1"/>
    </xf>
    <xf numFmtId="165" fontId="6" fillId="0" borderId="8" xfId="1" applyNumberFormat="1" applyFont="1" applyBorder="1" applyAlignment="1">
      <alignment horizontal="center" wrapText="1"/>
    </xf>
    <xf numFmtId="0" fontId="6" fillId="0" borderId="7" xfId="0" applyFont="1" applyBorder="1" applyAlignment="1">
      <alignment wrapText="1"/>
    </xf>
    <xf numFmtId="3" fontId="6" fillId="0" borderId="9" xfId="0" applyNumberFormat="1" applyFont="1" applyBorder="1" applyAlignment="1">
      <alignment horizontal="center" wrapText="1"/>
    </xf>
    <xf numFmtId="3" fontId="6" fillId="0" borderId="10" xfId="0" applyNumberFormat="1" applyFont="1" applyBorder="1" applyAlignment="1">
      <alignment horizontal="center" wrapText="1"/>
    </xf>
    <xf numFmtId="3" fontId="6" fillId="0" borderId="11" xfId="0" applyNumberFormat="1" applyFont="1" applyBorder="1" applyAlignment="1">
      <alignment horizontal="center" wrapText="1"/>
    </xf>
    <xf numFmtId="3" fontId="6" fillId="0" borderId="12" xfId="0" applyNumberFormat="1" applyFont="1" applyBorder="1" applyAlignment="1">
      <alignment horizontal="center" wrapText="1"/>
    </xf>
    <xf numFmtId="3" fontId="6" fillId="0" borderId="3" xfId="0" applyNumberFormat="1" applyFont="1" applyBorder="1" applyAlignment="1">
      <alignment horizontal="center" wrapText="1"/>
    </xf>
    <xf numFmtId="3" fontId="6" fillId="0" borderId="13" xfId="0" applyNumberFormat="1" applyFont="1" applyBorder="1" applyAlignment="1">
      <alignment horizontal="center" wrapText="1"/>
    </xf>
    <xf numFmtId="0" fontId="6" fillId="0" borderId="4" xfId="0" applyFont="1" applyBorder="1" applyAlignment="1">
      <alignment wrapText="1"/>
    </xf>
    <xf numFmtId="0" fontId="6" fillId="0" borderId="9" xfId="0" applyFont="1" applyBorder="1" applyAlignment="1">
      <alignment horizontal="left" wrapText="1"/>
    </xf>
    <xf numFmtId="0" fontId="6" fillId="0" borderId="11" xfId="0" applyFont="1" applyBorder="1" applyAlignment="1">
      <alignment horizontal="center" wrapText="1"/>
    </xf>
    <xf numFmtId="9" fontId="6" fillId="0" borderId="4" xfId="0" applyNumberFormat="1" applyFont="1" applyBorder="1" applyAlignment="1">
      <alignment horizontal="center" wrapText="1"/>
    </xf>
    <xf numFmtId="9" fontId="6" fillId="0" borderId="5" xfId="0" applyNumberFormat="1" applyFont="1" applyBorder="1" applyAlignment="1">
      <alignment horizontal="center" wrapText="1"/>
    </xf>
    <xf numFmtId="9" fontId="6" fillId="0" borderId="6" xfId="0" applyNumberFormat="1" applyFont="1" applyBorder="1" applyAlignment="1">
      <alignment horizontal="center" wrapText="1"/>
    </xf>
    <xf numFmtId="165" fontId="6" fillId="0" borderId="7" xfId="1" applyNumberFormat="1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1" fontId="6" fillId="0" borderId="12" xfId="0" applyNumberFormat="1" applyFont="1" applyBorder="1" applyAlignment="1">
      <alignment horizontal="center" wrapText="1"/>
    </xf>
    <xf numFmtId="1" fontId="6" fillId="0" borderId="3" xfId="0" applyNumberFormat="1" applyFont="1" applyBorder="1" applyAlignment="1">
      <alignment horizontal="center" wrapText="1"/>
    </xf>
    <xf numFmtId="1" fontId="6" fillId="0" borderId="13" xfId="0" applyNumberFormat="1" applyFont="1" applyBorder="1" applyAlignment="1">
      <alignment horizontal="center" wrapText="1"/>
    </xf>
    <xf numFmtId="0" fontId="6" fillId="0" borderId="4" xfId="0" applyFont="1" applyBorder="1" applyAlignment="1">
      <alignment horizontal="left" wrapText="1"/>
    </xf>
    <xf numFmtId="0" fontId="6" fillId="0" borderId="0" xfId="0" applyFont="1" applyFill="1" applyBorder="1" applyAlignment="1">
      <alignment wrapText="1"/>
    </xf>
    <xf numFmtId="0" fontId="6" fillId="0" borderId="5" xfId="0" applyFont="1" applyBorder="1" applyAlignment="1">
      <alignment wrapText="1"/>
    </xf>
    <xf numFmtId="0" fontId="0" fillId="0" borderId="5" xfId="0" applyBorder="1" applyAlignment="1">
      <alignment horizontal="center"/>
    </xf>
    <xf numFmtId="0" fontId="6" fillId="0" borderId="9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0" fillId="0" borderId="10" xfId="0" applyBorder="1" applyAlignment="1">
      <alignment horizontal="center"/>
    </xf>
    <xf numFmtId="0" fontId="7" fillId="0" borderId="12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0" fillId="0" borderId="0" xfId="0" applyBorder="1"/>
    <xf numFmtId="0" fontId="3" fillId="0" borderId="11" xfId="0" applyFont="1" applyBorder="1" applyAlignment="1">
      <alignment horizontal="center" wrapText="1"/>
    </xf>
    <xf numFmtId="165" fontId="0" fillId="0" borderId="3" xfId="0" applyNumberFormat="1" applyBorder="1" applyAlignment="1">
      <alignment horizontal="center"/>
    </xf>
    <xf numFmtId="165" fontId="0" fillId="0" borderId="25" xfId="0" applyNumberFormat="1" applyBorder="1" applyAlignment="1">
      <alignment horizontal="center"/>
    </xf>
    <xf numFmtId="165" fontId="0" fillId="0" borderId="22" xfId="0" applyNumberForma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Lämmitysenergian hintakehitys</a:t>
            </a:r>
          </a:p>
        </c:rich>
      </c:tx>
      <c:layout>
        <c:manualLayout>
          <c:xMode val="edge"/>
          <c:yMode val="edge"/>
          <c:x val="0.26929438168055081"/>
          <c:y val="3.35917312661498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822679056789846"/>
          <c:y val="0.18604698110208007"/>
          <c:w val="0.66830977446020379"/>
          <c:h val="0.65891639140320024"/>
        </c:manualLayout>
      </c:layout>
      <c:lineChart>
        <c:grouping val="standard"/>
        <c:varyColors val="0"/>
        <c:ser>
          <c:idx val="0"/>
          <c:order val="0"/>
          <c:tx>
            <c:strRef>
              <c:f>vertailu!$D$27</c:f>
              <c:strCache>
                <c:ptCount val="1"/>
                <c:pt idx="0">
                  <c:v>Suora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vertailu!$C$30:$C$58</c:f>
              <c:numCache>
                <c:formatCode>General</c:formatCode>
                <c:ptCount val="2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  <c:pt idx="20">
                  <c:v>2027</c:v>
                </c:pt>
                <c:pt idx="21">
                  <c:v>2028</c:v>
                </c:pt>
                <c:pt idx="22">
                  <c:v>2029</c:v>
                </c:pt>
                <c:pt idx="23">
                  <c:v>2030</c:v>
                </c:pt>
                <c:pt idx="24">
                  <c:v>2031</c:v>
                </c:pt>
                <c:pt idx="25">
                  <c:v>2032</c:v>
                </c:pt>
                <c:pt idx="26">
                  <c:v>2033</c:v>
                </c:pt>
                <c:pt idx="27">
                  <c:v>2034</c:v>
                </c:pt>
                <c:pt idx="28">
                  <c:v>2035</c:v>
                </c:pt>
              </c:numCache>
            </c:numRef>
          </c:cat>
          <c:val>
            <c:numRef>
              <c:f>vertailu!$D$30:$D$58</c:f>
              <c:numCache>
                <c:formatCode>0.0</c:formatCode>
                <c:ptCount val="29"/>
                <c:pt idx="0">
                  <c:v>91.009090909090446</c:v>
                </c:pt>
                <c:pt idx="1">
                  <c:v>96.216363636363894</c:v>
                </c:pt>
                <c:pt idx="2">
                  <c:v>101.42363636363552</c:v>
                </c:pt>
                <c:pt idx="3">
                  <c:v>106.63090909090897</c:v>
                </c:pt>
                <c:pt idx="4">
                  <c:v>111.83818181818242</c:v>
                </c:pt>
                <c:pt idx="5">
                  <c:v>117.04545454545405</c:v>
                </c:pt>
                <c:pt idx="6">
                  <c:v>122.2527272727275</c:v>
                </c:pt>
                <c:pt idx="7">
                  <c:v>127.45999999999913</c:v>
                </c:pt>
                <c:pt idx="8">
                  <c:v>132.66727272727258</c:v>
                </c:pt>
                <c:pt idx="9">
                  <c:v>137.87454545454602</c:v>
                </c:pt>
                <c:pt idx="10">
                  <c:v>143.08181818181765</c:v>
                </c:pt>
                <c:pt idx="11">
                  <c:v>148.2890909090911</c:v>
                </c:pt>
                <c:pt idx="12">
                  <c:v>153.49636363636273</c:v>
                </c:pt>
                <c:pt idx="13">
                  <c:v>158.70363636363618</c:v>
                </c:pt>
                <c:pt idx="14">
                  <c:v>163.91090909090963</c:v>
                </c:pt>
                <c:pt idx="15">
                  <c:v>169.11818181818126</c:v>
                </c:pt>
                <c:pt idx="16">
                  <c:v>174.3254545454547</c:v>
                </c:pt>
                <c:pt idx="17">
                  <c:v>179.53272727272815</c:v>
                </c:pt>
                <c:pt idx="18">
                  <c:v>184.73999999999978</c:v>
                </c:pt>
                <c:pt idx="19">
                  <c:v>189.94727272727323</c:v>
                </c:pt>
                <c:pt idx="20">
                  <c:v>195.15454545454486</c:v>
                </c:pt>
                <c:pt idx="21">
                  <c:v>200.36181818181831</c:v>
                </c:pt>
                <c:pt idx="22">
                  <c:v>205.56909090909176</c:v>
                </c:pt>
                <c:pt idx="23">
                  <c:v>210.77636363636339</c:v>
                </c:pt>
                <c:pt idx="24">
                  <c:v>215.98363636363683</c:v>
                </c:pt>
                <c:pt idx="25">
                  <c:v>221.19090909090846</c:v>
                </c:pt>
                <c:pt idx="26">
                  <c:v>226.39818181818191</c:v>
                </c:pt>
                <c:pt idx="27">
                  <c:v>231.60545454545536</c:v>
                </c:pt>
                <c:pt idx="28">
                  <c:v>236.81272727272699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vertailu!$E$27</c:f>
              <c:strCache>
                <c:ptCount val="1"/>
                <c:pt idx="0">
                  <c:v>Kauko- 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vertailu!$C$30:$C$58</c:f>
              <c:numCache>
                <c:formatCode>General</c:formatCode>
                <c:ptCount val="2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  <c:pt idx="20">
                  <c:v>2027</c:v>
                </c:pt>
                <c:pt idx="21">
                  <c:v>2028</c:v>
                </c:pt>
                <c:pt idx="22">
                  <c:v>2029</c:v>
                </c:pt>
                <c:pt idx="23">
                  <c:v>2030</c:v>
                </c:pt>
                <c:pt idx="24">
                  <c:v>2031</c:v>
                </c:pt>
                <c:pt idx="25">
                  <c:v>2032</c:v>
                </c:pt>
                <c:pt idx="26">
                  <c:v>2033</c:v>
                </c:pt>
                <c:pt idx="27">
                  <c:v>2034</c:v>
                </c:pt>
                <c:pt idx="28">
                  <c:v>2035</c:v>
                </c:pt>
              </c:numCache>
            </c:numRef>
          </c:cat>
          <c:val>
            <c:numRef>
              <c:f>vertailu!$E$30:$E$58</c:f>
              <c:numCache>
                <c:formatCode>0.0</c:formatCode>
                <c:ptCount val="29"/>
                <c:pt idx="0">
                  <c:v>54.536363636363603</c:v>
                </c:pt>
                <c:pt idx="1">
                  <c:v>57.63727272727283</c:v>
                </c:pt>
                <c:pt idx="2">
                  <c:v>60.738181818182056</c:v>
                </c:pt>
                <c:pt idx="3">
                  <c:v>63.839090909091283</c:v>
                </c:pt>
                <c:pt idx="4">
                  <c:v>66.940000000000509</c:v>
                </c:pt>
                <c:pt idx="5">
                  <c:v>70.040909090908826</c:v>
                </c:pt>
                <c:pt idx="6">
                  <c:v>73.141818181818053</c:v>
                </c:pt>
                <c:pt idx="7">
                  <c:v>76.242727272727279</c:v>
                </c:pt>
                <c:pt idx="8">
                  <c:v>79.343636363636506</c:v>
                </c:pt>
                <c:pt idx="9">
                  <c:v>82.444545454545732</c:v>
                </c:pt>
                <c:pt idx="10">
                  <c:v>85.545454545454959</c:v>
                </c:pt>
                <c:pt idx="11">
                  <c:v>88.646363636363276</c:v>
                </c:pt>
                <c:pt idx="12">
                  <c:v>91.747272727272502</c:v>
                </c:pt>
                <c:pt idx="13">
                  <c:v>94.848181818181729</c:v>
                </c:pt>
                <c:pt idx="14">
                  <c:v>97.949090909090955</c:v>
                </c:pt>
                <c:pt idx="15">
                  <c:v>101.05000000000018</c:v>
                </c:pt>
                <c:pt idx="16">
                  <c:v>104.15090909090941</c:v>
                </c:pt>
                <c:pt idx="17">
                  <c:v>107.25181818181863</c:v>
                </c:pt>
                <c:pt idx="18">
                  <c:v>110.35272727272695</c:v>
                </c:pt>
                <c:pt idx="19">
                  <c:v>113.45363636363618</c:v>
                </c:pt>
                <c:pt idx="20">
                  <c:v>116.5545454545454</c:v>
                </c:pt>
                <c:pt idx="21">
                  <c:v>119.65545454545463</c:v>
                </c:pt>
                <c:pt idx="22">
                  <c:v>122.75636363636386</c:v>
                </c:pt>
                <c:pt idx="23">
                  <c:v>125.85727272727308</c:v>
                </c:pt>
                <c:pt idx="24">
                  <c:v>128.95818181818231</c:v>
                </c:pt>
                <c:pt idx="25">
                  <c:v>132.05909090909063</c:v>
                </c:pt>
                <c:pt idx="26">
                  <c:v>135.15999999999985</c:v>
                </c:pt>
                <c:pt idx="27">
                  <c:v>138.26090909090908</c:v>
                </c:pt>
                <c:pt idx="28">
                  <c:v>141.36181818181831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vertailu!$F$27</c:f>
              <c:strCache>
                <c:ptCount val="1"/>
                <c:pt idx="0">
                  <c:v>Kevyt  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vertailu!$C$30:$C$58</c:f>
              <c:numCache>
                <c:formatCode>General</c:formatCode>
                <c:ptCount val="2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  <c:pt idx="20">
                  <c:v>2027</c:v>
                </c:pt>
                <c:pt idx="21">
                  <c:v>2028</c:v>
                </c:pt>
                <c:pt idx="22">
                  <c:v>2029</c:v>
                </c:pt>
                <c:pt idx="23">
                  <c:v>2030</c:v>
                </c:pt>
                <c:pt idx="24">
                  <c:v>2031</c:v>
                </c:pt>
                <c:pt idx="25">
                  <c:v>2032</c:v>
                </c:pt>
                <c:pt idx="26">
                  <c:v>2033</c:v>
                </c:pt>
                <c:pt idx="27">
                  <c:v>2034</c:v>
                </c:pt>
                <c:pt idx="28">
                  <c:v>2035</c:v>
                </c:pt>
              </c:numCache>
            </c:numRef>
          </c:cat>
          <c:val>
            <c:numRef>
              <c:f>vertailu!$F$30:$F$58</c:f>
              <c:numCache>
                <c:formatCode>0.0</c:formatCode>
                <c:ptCount val="29"/>
                <c:pt idx="0">
                  <c:v>68.263636363635669</c:v>
                </c:pt>
                <c:pt idx="1">
                  <c:v>75.226363636364113</c:v>
                </c:pt>
                <c:pt idx="2">
                  <c:v>82.189090909090737</c:v>
                </c:pt>
                <c:pt idx="3">
                  <c:v>89.151818181819181</c:v>
                </c:pt>
                <c:pt idx="4">
                  <c:v>96.114545454545805</c:v>
                </c:pt>
                <c:pt idx="5">
                  <c:v>103.07727272727243</c:v>
                </c:pt>
                <c:pt idx="6">
                  <c:v>110.04000000000087</c:v>
                </c:pt>
                <c:pt idx="7">
                  <c:v>117.0027272727275</c:v>
                </c:pt>
                <c:pt idx="8">
                  <c:v>123.96545454545412</c:v>
                </c:pt>
                <c:pt idx="9">
                  <c:v>130.92818181818257</c:v>
                </c:pt>
                <c:pt idx="10">
                  <c:v>137.89090909090919</c:v>
                </c:pt>
                <c:pt idx="11">
                  <c:v>144.85363636363581</c:v>
                </c:pt>
                <c:pt idx="12">
                  <c:v>151.81636363636426</c:v>
                </c:pt>
                <c:pt idx="13">
                  <c:v>158.77909090909088</c:v>
                </c:pt>
                <c:pt idx="14">
                  <c:v>165.74181818181751</c:v>
                </c:pt>
                <c:pt idx="15">
                  <c:v>172.70454545454595</c:v>
                </c:pt>
                <c:pt idx="16">
                  <c:v>179.66727272727258</c:v>
                </c:pt>
                <c:pt idx="17">
                  <c:v>186.6299999999992</c:v>
                </c:pt>
                <c:pt idx="18">
                  <c:v>193.59272727272764</c:v>
                </c:pt>
                <c:pt idx="19">
                  <c:v>200.55545454545427</c:v>
                </c:pt>
                <c:pt idx="20">
                  <c:v>207.51818181818271</c:v>
                </c:pt>
                <c:pt idx="21">
                  <c:v>214.48090909090934</c:v>
                </c:pt>
                <c:pt idx="22">
                  <c:v>221.44363636363596</c:v>
                </c:pt>
                <c:pt idx="23">
                  <c:v>228.4063636363644</c:v>
                </c:pt>
                <c:pt idx="24">
                  <c:v>235.36909090909103</c:v>
                </c:pt>
                <c:pt idx="25">
                  <c:v>242.33181818181765</c:v>
                </c:pt>
                <c:pt idx="26">
                  <c:v>249.2945454545461</c:v>
                </c:pt>
                <c:pt idx="27">
                  <c:v>256.25727272727272</c:v>
                </c:pt>
                <c:pt idx="28">
                  <c:v>263.21999999999935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vertailu!$G$27</c:f>
              <c:strCache>
                <c:ptCount val="1"/>
                <c:pt idx="0">
                  <c:v>Puu-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vertailu!$C$30:$C$58</c:f>
              <c:numCache>
                <c:formatCode>General</c:formatCode>
                <c:ptCount val="2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  <c:pt idx="20">
                  <c:v>2027</c:v>
                </c:pt>
                <c:pt idx="21">
                  <c:v>2028</c:v>
                </c:pt>
                <c:pt idx="22">
                  <c:v>2029</c:v>
                </c:pt>
                <c:pt idx="23">
                  <c:v>2030</c:v>
                </c:pt>
                <c:pt idx="24">
                  <c:v>2031</c:v>
                </c:pt>
                <c:pt idx="25">
                  <c:v>2032</c:v>
                </c:pt>
                <c:pt idx="26">
                  <c:v>2033</c:v>
                </c:pt>
                <c:pt idx="27">
                  <c:v>2034</c:v>
                </c:pt>
                <c:pt idx="28">
                  <c:v>2035</c:v>
                </c:pt>
              </c:numCache>
            </c:numRef>
          </c:cat>
          <c:val>
            <c:numRef>
              <c:f>vertailu!$G$30:$G$58</c:f>
              <c:numCache>
                <c:formatCode>0.0</c:formatCode>
                <c:ptCount val="29"/>
                <c:pt idx="0">
                  <c:v>38.141018181818254</c:v>
                </c:pt>
                <c:pt idx="1">
                  <c:v>41.416592727273382</c:v>
                </c:pt>
                <c:pt idx="2">
                  <c:v>44.692167272727602</c:v>
                </c:pt>
                <c:pt idx="3">
                  <c:v>47.967741818181821</c:v>
                </c:pt>
                <c:pt idx="4">
                  <c:v>51.24331636363695</c:v>
                </c:pt>
                <c:pt idx="5">
                  <c:v>54.518890909091169</c:v>
                </c:pt>
                <c:pt idx="6">
                  <c:v>57.794465454545389</c:v>
                </c:pt>
                <c:pt idx="7">
                  <c:v>61.070040000000517</c:v>
                </c:pt>
                <c:pt idx="8">
                  <c:v>64.345614545454737</c:v>
                </c:pt>
                <c:pt idx="9">
                  <c:v>67.621189090909866</c:v>
                </c:pt>
                <c:pt idx="10">
                  <c:v>70.896763636364085</c:v>
                </c:pt>
                <c:pt idx="11">
                  <c:v>74.172338181818304</c:v>
                </c:pt>
                <c:pt idx="12">
                  <c:v>77.447912727273433</c:v>
                </c:pt>
                <c:pt idx="13">
                  <c:v>80.723487272727652</c:v>
                </c:pt>
                <c:pt idx="14">
                  <c:v>83.999061818181872</c:v>
                </c:pt>
                <c:pt idx="15">
                  <c:v>87.274636363637001</c:v>
                </c:pt>
                <c:pt idx="16">
                  <c:v>90.55021090909122</c:v>
                </c:pt>
                <c:pt idx="17">
                  <c:v>93.825785454545439</c:v>
                </c:pt>
                <c:pt idx="18">
                  <c:v>97.101360000000568</c:v>
                </c:pt>
                <c:pt idx="19">
                  <c:v>100.37693454545479</c:v>
                </c:pt>
                <c:pt idx="20">
                  <c:v>103.65250909090901</c:v>
                </c:pt>
                <c:pt idx="21">
                  <c:v>106.92808363636414</c:v>
                </c:pt>
                <c:pt idx="22">
                  <c:v>110.20365818181835</c:v>
                </c:pt>
                <c:pt idx="23">
                  <c:v>113.47923272727348</c:v>
                </c:pt>
                <c:pt idx="24">
                  <c:v>116.7548072727277</c:v>
                </c:pt>
                <c:pt idx="25">
                  <c:v>120.03038181818192</c:v>
                </c:pt>
                <c:pt idx="26">
                  <c:v>123.30595636363705</c:v>
                </c:pt>
                <c:pt idx="27">
                  <c:v>126.58153090909127</c:v>
                </c:pt>
                <c:pt idx="28">
                  <c:v>129.85710545454549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vertailu!#REF!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vertailu!$C$30:$C$58</c:f>
              <c:numCache>
                <c:formatCode>General</c:formatCode>
                <c:ptCount val="2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  <c:pt idx="20">
                  <c:v>2027</c:v>
                </c:pt>
                <c:pt idx="21">
                  <c:v>2028</c:v>
                </c:pt>
                <c:pt idx="22">
                  <c:v>2029</c:v>
                </c:pt>
                <c:pt idx="23">
                  <c:v>2030</c:v>
                </c:pt>
                <c:pt idx="24">
                  <c:v>2031</c:v>
                </c:pt>
                <c:pt idx="25">
                  <c:v>2032</c:v>
                </c:pt>
                <c:pt idx="26">
                  <c:v>2033</c:v>
                </c:pt>
                <c:pt idx="27">
                  <c:v>2034</c:v>
                </c:pt>
                <c:pt idx="28">
                  <c:v>2035</c:v>
                </c:pt>
              </c:numCache>
            </c:numRef>
          </c:cat>
          <c:val>
            <c:numRef>
              <c:f>vertailu!#REF!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vertailu!$H$27</c:f>
              <c:strCache>
                <c:ptCount val="1"/>
                <c:pt idx="0">
                  <c:v>Poltto-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vertailu!$C$30:$C$58</c:f>
              <c:numCache>
                <c:formatCode>General</c:formatCode>
                <c:ptCount val="2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  <c:pt idx="20">
                  <c:v>2027</c:v>
                </c:pt>
                <c:pt idx="21">
                  <c:v>2028</c:v>
                </c:pt>
                <c:pt idx="22">
                  <c:v>2029</c:v>
                </c:pt>
                <c:pt idx="23">
                  <c:v>2030</c:v>
                </c:pt>
                <c:pt idx="24">
                  <c:v>2031</c:v>
                </c:pt>
                <c:pt idx="25">
                  <c:v>2032</c:v>
                </c:pt>
                <c:pt idx="26">
                  <c:v>2033</c:v>
                </c:pt>
                <c:pt idx="27">
                  <c:v>2034</c:v>
                </c:pt>
                <c:pt idx="28">
                  <c:v>2035</c:v>
                </c:pt>
              </c:numCache>
            </c:numRef>
          </c:cat>
          <c:val>
            <c:numRef>
              <c:f>vertailu!$H$30:$H$58</c:f>
              <c:numCache>
                <c:formatCode>0.0</c:formatCode>
                <c:ptCount val="29"/>
                <c:pt idx="0">
                  <c:v>14.472727272727298</c:v>
                </c:pt>
                <c:pt idx="1">
                  <c:v>15.960909090908899</c:v>
                </c:pt>
                <c:pt idx="2">
                  <c:v>17.449090909090501</c:v>
                </c:pt>
                <c:pt idx="3">
                  <c:v>18.937272727272557</c:v>
                </c:pt>
                <c:pt idx="4">
                  <c:v>20.425454545454159</c:v>
                </c:pt>
                <c:pt idx="5">
                  <c:v>21.913636363636215</c:v>
                </c:pt>
                <c:pt idx="6">
                  <c:v>23.401818181817816</c:v>
                </c:pt>
                <c:pt idx="7">
                  <c:v>24.889999999999873</c:v>
                </c:pt>
                <c:pt idx="8">
                  <c:v>26.378181818181474</c:v>
                </c:pt>
                <c:pt idx="9">
                  <c:v>27.866363636363531</c:v>
                </c:pt>
                <c:pt idx="10">
                  <c:v>29.354545454545132</c:v>
                </c:pt>
                <c:pt idx="11">
                  <c:v>30.842727272727188</c:v>
                </c:pt>
                <c:pt idx="12">
                  <c:v>32.33090909090879</c:v>
                </c:pt>
                <c:pt idx="13">
                  <c:v>33.819090909090846</c:v>
                </c:pt>
                <c:pt idx="14">
                  <c:v>35.307272727272448</c:v>
                </c:pt>
                <c:pt idx="15">
                  <c:v>36.795454545454504</c:v>
                </c:pt>
                <c:pt idx="16">
                  <c:v>38.283636363636106</c:v>
                </c:pt>
                <c:pt idx="17">
                  <c:v>39.771818181818162</c:v>
                </c:pt>
                <c:pt idx="18">
                  <c:v>41.259999999999764</c:v>
                </c:pt>
                <c:pt idx="19">
                  <c:v>42.74818181818182</c:v>
                </c:pt>
                <c:pt idx="20">
                  <c:v>44.236363636363421</c:v>
                </c:pt>
                <c:pt idx="21">
                  <c:v>45.724545454545023</c:v>
                </c:pt>
                <c:pt idx="22">
                  <c:v>47.212727272727079</c:v>
                </c:pt>
                <c:pt idx="23">
                  <c:v>48.700909090908681</c:v>
                </c:pt>
                <c:pt idx="24">
                  <c:v>50.189090909090737</c:v>
                </c:pt>
                <c:pt idx="25">
                  <c:v>51.677272727272339</c:v>
                </c:pt>
                <c:pt idx="26">
                  <c:v>53.165454545454395</c:v>
                </c:pt>
                <c:pt idx="27">
                  <c:v>54.653636363635997</c:v>
                </c:pt>
                <c:pt idx="28">
                  <c:v>56.141818181818053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283264"/>
        <c:axId val="182297728"/>
      </c:lineChart>
      <c:catAx>
        <c:axId val="18228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82297728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82297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eur/MWh</a:t>
                </a:r>
              </a:p>
            </c:rich>
          </c:tx>
          <c:layout>
            <c:manualLayout>
              <c:xMode val="edge"/>
              <c:yMode val="edge"/>
              <c:x val="2.6272585492030886E-2"/>
              <c:y val="0.4366935915956242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1822832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80434782608695654"/>
          <c:y val="0.35142118863049093"/>
          <c:w val="0.18115942028985507"/>
          <c:h val="0.3307493540051679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866775</xdr:colOff>
      <xdr:row>59</xdr:row>
      <xdr:rowOff>47625</xdr:rowOff>
    </xdr:from>
    <xdr:to>
      <xdr:col>9</xdr:col>
      <xdr:colOff>571500</xdr:colOff>
      <xdr:row>82</xdr:row>
      <xdr:rowOff>9525</xdr:rowOff>
    </xdr:to>
    <xdr:graphicFrame macro="">
      <xdr:nvGraphicFramePr>
        <xdr:cNvPr id="107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8"/>
  <sheetViews>
    <sheetView showGridLines="0" tabSelected="1" workbookViewId="0">
      <selection activeCell="I30" sqref="I30:I58"/>
    </sheetView>
  </sheetViews>
  <sheetFormatPr defaultRowHeight="12.75" x14ac:dyDescent="0.2"/>
  <cols>
    <col min="1" max="1" width="10.7109375" customWidth="1"/>
    <col min="2" max="2" width="17" customWidth="1"/>
    <col min="3" max="3" width="8.28515625" customWidth="1"/>
    <col min="4" max="4" width="10" style="3" customWidth="1"/>
    <col min="5" max="5" width="10.85546875" style="3" customWidth="1"/>
    <col min="6" max="6" width="10.42578125" style="3" customWidth="1"/>
    <col min="7" max="8" width="10" style="3" customWidth="1"/>
    <col min="9" max="9" width="9.28515625" style="3" customWidth="1"/>
    <col min="10" max="10" width="10.7109375" style="3" customWidth="1"/>
    <col min="17" max="17" width="10.140625" customWidth="1"/>
  </cols>
  <sheetData>
    <row r="1" spans="1:18" x14ac:dyDescent="0.2">
      <c r="A1" t="s">
        <v>88</v>
      </c>
    </row>
    <row r="3" spans="1:18" x14ac:dyDescent="0.2">
      <c r="B3" t="s">
        <v>14</v>
      </c>
    </row>
    <row r="4" spans="1:18" ht="17.25" customHeight="1" x14ac:dyDescent="0.2"/>
    <row r="5" spans="1:18" ht="15.75" customHeight="1" x14ac:dyDescent="0.2">
      <c r="C5" s="19" t="s">
        <v>1</v>
      </c>
      <c r="D5" s="20" t="s">
        <v>9</v>
      </c>
      <c r="E5" s="20" t="s">
        <v>5</v>
      </c>
      <c r="F5" s="20" t="s">
        <v>7</v>
      </c>
      <c r="G5" s="21" t="s">
        <v>44</v>
      </c>
      <c r="H5" s="21" t="s">
        <v>71</v>
      </c>
      <c r="I5" s="65" t="s">
        <v>73</v>
      </c>
      <c r="N5" s="6"/>
      <c r="O5" s="6"/>
      <c r="P5" s="6"/>
      <c r="Q5" s="5"/>
      <c r="R5" s="5"/>
    </row>
    <row r="6" spans="1:18" x14ac:dyDescent="0.2">
      <c r="C6" s="17"/>
      <c r="D6" s="5" t="s">
        <v>10</v>
      </c>
      <c r="E6" s="5" t="s">
        <v>6</v>
      </c>
      <c r="F6" s="5" t="s">
        <v>8</v>
      </c>
      <c r="G6" s="6" t="s">
        <v>45</v>
      </c>
      <c r="H6" s="6" t="s">
        <v>72</v>
      </c>
      <c r="I6" s="66" t="s">
        <v>74</v>
      </c>
      <c r="K6" s="122"/>
      <c r="L6" s="122"/>
      <c r="N6" s="5"/>
      <c r="O6" s="5"/>
      <c r="P6" s="5"/>
      <c r="Q6" s="6"/>
      <c r="R6" s="6"/>
    </row>
    <row r="7" spans="1:18" x14ac:dyDescent="0.2">
      <c r="C7" s="18"/>
      <c r="D7" s="64" t="s">
        <v>75</v>
      </c>
      <c r="E7" s="64" t="s">
        <v>75</v>
      </c>
      <c r="F7" s="64" t="s">
        <v>75</v>
      </c>
      <c r="G7" s="64" t="s">
        <v>75</v>
      </c>
      <c r="H7" s="64" t="s">
        <v>75</v>
      </c>
      <c r="I7" s="67" t="s">
        <v>75</v>
      </c>
      <c r="K7" s="122"/>
      <c r="L7" s="122"/>
      <c r="N7" s="5"/>
      <c r="O7" s="5"/>
      <c r="P7" s="5"/>
      <c r="Q7" s="5"/>
      <c r="R7" s="5"/>
    </row>
    <row r="8" spans="1:18" x14ac:dyDescent="0.2">
      <c r="C8" s="17">
        <v>2000</v>
      </c>
      <c r="D8" s="7">
        <v>63.7</v>
      </c>
      <c r="E8" s="7">
        <v>38.200000000000003</v>
      </c>
      <c r="F8" s="7">
        <v>38</v>
      </c>
      <c r="G8" s="7"/>
      <c r="H8" s="7">
        <v>7.8</v>
      </c>
      <c r="I8" s="68"/>
      <c r="K8" s="122"/>
      <c r="L8" s="7"/>
      <c r="N8" s="5"/>
      <c r="O8" s="7"/>
      <c r="P8" s="7"/>
      <c r="Q8" s="7"/>
      <c r="R8" s="7"/>
    </row>
    <row r="9" spans="1:18" x14ac:dyDescent="0.2">
      <c r="C9" s="17">
        <v>2001</v>
      </c>
      <c r="D9" s="7">
        <v>63.3</v>
      </c>
      <c r="E9" s="7">
        <v>40.4</v>
      </c>
      <c r="F9" s="7">
        <v>41</v>
      </c>
      <c r="G9" s="7"/>
      <c r="H9" s="63">
        <v>8.1999999999999993</v>
      </c>
      <c r="I9" s="68"/>
      <c r="K9" s="122"/>
      <c r="L9" s="7"/>
      <c r="N9" s="5"/>
      <c r="O9" s="7"/>
      <c r="P9" s="7"/>
      <c r="Q9" s="7"/>
      <c r="R9" s="7"/>
    </row>
    <row r="10" spans="1:18" x14ac:dyDescent="0.2">
      <c r="C10" s="17">
        <v>2002</v>
      </c>
      <c r="D10" s="7">
        <v>67.8</v>
      </c>
      <c r="E10" s="7">
        <v>42.1</v>
      </c>
      <c r="F10" s="7">
        <v>35</v>
      </c>
      <c r="G10" s="7">
        <f>110/5*1.22</f>
        <v>26.84</v>
      </c>
      <c r="H10" s="63">
        <v>9.1</v>
      </c>
      <c r="I10" s="69">
        <f>AVERAGE(D10:H10)</f>
        <v>36.167999999999999</v>
      </c>
      <c r="K10" s="122"/>
      <c r="L10" s="7"/>
      <c r="N10" s="5"/>
      <c r="O10" s="7"/>
      <c r="P10" s="7"/>
      <c r="Q10" s="7"/>
      <c r="R10" s="7"/>
    </row>
    <row r="11" spans="1:18" x14ac:dyDescent="0.2">
      <c r="C11" s="17">
        <v>2003</v>
      </c>
      <c r="D11" s="7">
        <v>77.900000000000006</v>
      </c>
      <c r="E11" s="7">
        <v>43.8</v>
      </c>
      <c r="F11" s="7">
        <v>40</v>
      </c>
      <c r="G11" s="7">
        <f>110.7/5*1.22</f>
        <v>27.0108</v>
      </c>
      <c r="H11" s="63">
        <v>9.9</v>
      </c>
      <c r="I11" s="69">
        <f t="shared" ref="I11:I20" si="0">AVERAGE(D11:H11)</f>
        <v>39.722159999999995</v>
      </c>
      <c r="K11" s="122"/>
      <c r="L11" s="7"/>
      <c r="N11" s="5"/>
      <c r="O11" s="7"/>
      <c r="P11" s="7"/>
      <c r="Q11" s="7"/>
      <c r="R11" s="7"/>
    </row>
    <row r="12" spans="1:18" x14ac:dyDescent="0.2">
      <c r="C12" s="17">
        <v>2004</v>
      </c>
      <c r="D12" s="7">
        <v>77</v>
      </c>
      <c r="E12" s="7">
        <v>44.7</v>
      </c>
      <c r="F12" s="7">
        <v>42.7</v>
      </c>
      <c r="G12" s="7">
        <f>110.7/5*1.22</f>
        <v>27.0108</v>
      </c>
      <c r="H12" s="63">
        <v>9.8000000000000007</v>
      </c>
      <c r="I12" s="69">
        <f t="shared" si="0"/>
        <v>40.242159999999998</v>
      </c>
      <c r="K12" s="122"/>
      <c r="L12" s="7"/>
      <c r="N12" s="5"/>
      <c r="O12" s="7"/>
      <c r="P12" s="7"/>
      <c r="Q12" s="7"/>
      <c r="R12" s="7"/>
    </row>
    <row r="13" spans="1:18" x14ac:dyDescent="0.2">
      <c r="C13" s="17">
        <v>2005</v>
      </c>
      <c r="D13" s="7">
        <v>75.3</v>
      </c>
      <c r="E13" s="7">
        <v>46.7</v>
      </c>
      <c r="F13" s="7">
        <v>57</v>
      </c>
      <c r="G13" s="7">
        <f>121.4/5*1.22</f>
        <v>29.621600000000001</v>
      </c>
      <c r="H13" s="7">
        <v>10.6</v>
      </c>
      <c r="I13" s="69">
        <f t="shared" si="0"/>
        <v>43.844319999999996</v>
      </c>
      <c r="K13" s="122"/>
      <c r="L13" s="7"/>
      <c r="N13" s="5"/>
      <c r="O13" s="7"/>
      <c r="P13" s="7"/>
      <c r="Q13" s="7"/>
      <c r="R13" s="7"/>
    </row>
    <row r="14" spans="1:18" x14ac:dyDescent="0.2">
      <c r="C14" s="17">
        <v>2006</v>
      </c>
      <c r="D14" s="7">
        <v>79.7</v>
      </c>
      <c r="E14" s="7">
        <v>49.9</v>
      </c>
      <c r="F14" s="7">
        <v>67</v>
      </c>
      <c r="G14" s="7">
        <f>122/5*1.22</f>
        <v>29.767999999999997</v>
      </c>
      <c r="H14" s="7">
        <v>11.6</v>
      </c>
      <c r="I14" s="69">
        <f t="shared" si="0"/>
        <v>47.593599999999995</v>
      </c>
      <c r="K14" s="122"/>
      <c r="L14" s="7"/>
      <c r="N14" s="5"/>
      <c r="O14" s="7"/>
      <c r="P14" s="7"/>
      <c r="Q14" s="7"/>
      <c r="R14" s="7"/>
    </row>
    <row r="15" spans="1:18" x14ac:dyDescent="0.2">
      <c r="C15" s="17">
        <v>2007</v>
      </c>
      <c r="D15" s="7">
        <v>84.3</v>
      </c>
      <c r="E15" s="7">
        <v>51.9</v>
      </c>
      <c r="F15" s="7">
        <v>62</v>
      </c>
      <c r="G15" s="7">
        <v>30</v>
      </c>
      <c r="H15" s="7">
        <v>12.4</v>
      </c>
      <c r="I15" s="69">
        <f t="shared" si="0"/>
        <v>48.12</v>
      </c>
      <c r="K15" s="122"/>
      <c r="L15" s="7"/>
      <c r="N15" s="5"/>
      <c r="O15" s="7"/>
      <c r="P15" s="7"/>
      <c r="Q15" s="7"/>
      <c r="R15" s="7"/>
    </row>
    <row r="16" spans="1:18" x14ac:dyDescent="0.2">
      <c r="C16" s="17">
        <v>2008</v>
      </c>
      <c r="D16" s="7">
        <v>94.4</v>
      </c>
      <c r="E16" s="7">
        <v>55.9</v>
      </c>
      <c r="F16" s="7">
        <v>94</v>
      </c>
      <c r="G16" s="7">
        <v>42</v>
      </c>
      <c r="H16" s="7">
        <v>14.1</v>
      </c>
      <c r="I16" s="69">
        <f t="shared" si="0"/>
        <v>60.080000000000005</v>
      </c>
      <c r="K16" s="122"/>
      <c r="L16" s="7"/>
      <c r="N16" s="5"/>
      <c r="O16" s="7"/>
      <c r="P16" s="7"/>
      <c r="Q16" s="7"/>
      <c r="R16" s="7"/>
    </row>
    <row r="17" spans="2:18" x14ac:dyDescent="0.2">
      <c r="C17" s="17">
        <v>2009</v>
      </c>
      <c r="D17" s="7">
        <v>102.2</v>
      </c>
      <c r="E17" s="7">
        <v>61.4</v>
      </c>
      <c r="F17" s="7">
        <v>62</v>
      </c>
      <c r="G17" s="7">
        <v>47.8</v>
      </c>
      <c r="H17" s="7">
        <v>17.600000000000001</v>
      </c>
      <c r="I17" s="69">
        <f t="shared" si="0"/>
        <v>58.2</v>
      </c>
      <c r="K17" s="122"/>
      <c r="L17" s="7"/>
      <c r="N17" s="5"/>
      <c r="O17" s="7"/>
      <c r="P17" s="7"/>
      <c r="Q17" s="7"/>
      <c r="R17" s="7"/>
    </row>
    <row r="18" spans="2:18" x14ac:dyDescent="0.2">
      <c r="C18" s="17">
        <f>1+C17</f>
        <v>2010</v>
      </c>
      <c r="D18" s="7">
        <v>106.9</v>
      </c>
      <c r="E18" s="7">
        <v>63.2</v>
      </c>
      <c r="F18" s="7">
        <v>78</v>
      </c>
      <c r="G18" s="7">
        <v>54</v>
      </c>
      <c r="H18" s="7">
        <v>18.399999999999999</v>
      </c>
      <c r="I18" s="69">
        <f t="shared" si="0"/>
        <v>64.099999999999994</v>
      </c>
      <c r="K18" s="122"/>
      <c r="L18" s="7"/>
      <c r="N18" s="5"/>
      <c r="O18" s="7"/>
      <c r="P18" s="7"/>
      <c r="Q18" s="7"/>
      <c r="R18" s="7"/>
    </row>
    <row r="19" spans="2:18" x14ac:dyDescent="0.2">
      <c r="C19" s="17">
        <f>1+C18</f>
        <v>2011</v>
      </c>
      <c r="D19" s="7">
        <v>112.8</v>
      </c>
      <c r="E19" s="7">
        <v>65.599999999999994</v>
      </c>
      <c r="F19" s="7">
        <v>108</v>
      </c>
      <c r="G19" s="7">
        <v>54.5</v>
      </c>
      <c r="H19" s="7">
        <v>22</v>
      </c>
      <c r="I19" s="69">
        <f t="shared" si="0"/>
        <v>72.58</v>
      </c>
      <c r="K19" s="122"/>
      <c r="L19" s="7"/>
      <c r="N19" s="5"/>
      <c r="O19" s="7"/>
      <c r="P19" s="7"/>
      <c r="Q19" s="7"/>
      <c r="R19" s="7"/>
    </row>
    <row r="20" spans="2:18" x14ac:dyDescent="0.2">
      <c r="C20" s="17">
        <v>2012</v>
      </c>
      <c r="D20" s="7">
        <v>122.8</v>
      </c>
      <c r="E20" s="7">
        <v>74.7</v>
      </c>
      <c r="F20" s="7">
        <v>105.2</v>
      </c>
      <c r="G20" s="7">
        <v>51</v>
      </c>
      <c r="H20" s="7">
        <v>23.7</v>
      </c>
      <c r="I20" s="69">
        <f t="shared" si="0"/>
        <v>75.47999999999999</v>
      </c>
      <c r="K20" s="122"/>
      <c r="L20" s="7"/>
      <c r="N20" s="5"/>
      <c r="O20" s="7"/>
      <c r="P20" s="7"/>
      <c r="Q20" s="7"/>
      <c r="R20" s="7"/>
    </row>
    <row r="21" spans="2:18" ht="15.75" customHeight="1" x14ac:dyDescent="0.2">
      <c r="C21" s="16" t="s">
        <v>4</v>
      </c>
      <c r="D21" s="70">
        <f>(D35-D34)/D34</f>
        <v>4.6560777747059565E-2</v>
      </c>
      <c r="E21" s="70">
        <f t="shared" ref="E21:H21" si="1">(E35-E34)/E34</f>
        <v>4.6323709156084455E-2</v>
      </c>
      <c r="F21" s="70">
        <f t="shared" si="1"/>
        <v>7.2441972646267325E-2</v>
      </c>
      <c r="G21" s="70">
        <f t="shared" si="1"/>
        <v>6.3921985888068272E-2</v>
      </c>
      <c r="H21" s="70">
        <f t="shared" si="1"/>
        <v>7.2859177496897493E-2</v>
      </c>
      <c r="I21" s="71">
        <f t="shared" ref="D21:I21" si="2">(I31-I30)/I30</f>
        <v>7.2889426523113102E-2</v>
      </c>
      <c r="K21" s="122"/>
      <c r="L21" s="122"/>
      <c r="N21" s="5"/>
      <c r="O21" s="45"/>
      <c r="P21" s="45"/>
      <c r="Q21" s="45"/>
      <c r="R21" s="45"/>
    </row>
    <row r="22" spans="2:18" ht="15.75" customHeight="1" x14ac:dyDescent="0.2">
      <c r="C22" s="16" t="s">
        <v>76</v>
      </c>
      <c r="D22" s="70"/>
      <c r="E22" s="70"/>
      <c r="F22" s="70"/>
      <c r="G22" s="70"/>
      <c r="H22" s="70"/>
      <c r="I22" s="71"/>
      <c r="N22" s="5"/>
      <c r="O22" s="45"/>
      <c r="P22" s="45"/>
      <c r="Q22" s="45"/>
      <c r="R22" s="45"/>
    </row>
    <row r="23" spans="2:18" x14ac:dyDescent="0.2">
      <c r="C23" s="46">
        <v>2020</v>
      </c>
      <c r="D23" s="72">
        <f>POWER(1+D21,9)*D19</f>
        <v>169.89836145425059</v>
      </c>
      <c r="E23" s="72">
        <f t="shared" ref="E23:H23" si="3">POWER(1+E21,9)*E19</f>
        <v>98.604886210360021</v>
      </c>
      <c r="F23" s="72">
        <f t="shared" si="3"/>
        <v>202.66930625597072</v>
      </c>
      <c r="G23" s="72">
        <f t="shared" si="3"/>
        <v>95.188515778985391</v>
      </c>
      <c r="H23" s="72">
        <f t="shared" si="3"/>
        <v>41.429259070670405</v>
      </c>
      <c r="I23" s="73">
        <f>AVERAGE(D23:H23)</f>
        <v>121.55806575404742</v>
      </c>
    </row>
    <row r="24" spans="2:18" x14ac:dyDescent="0.2">
      <c r="C24" s="10"/>
    </row>
    <row r="25" spans="2:18" x14ac:dyDescent="0.2">
      <c r="C25" s="10"/>
    </row>
    <row r="26" spans="2:18" x14ac:dyDescent="0.2">
      <c r="C26" s="10"/>
    </row>
    <row r="27" spans="2:18" x14ac:dyDescent="0.2">
      <c r="B27" t="s">
        <v>13</v>
      </c>
      <c r="C27" s="19" t="s">
        <v>1</v>
      </c>
      <c r="D27" s="20" t="s">
        <v>9</v>
      </c>
      <c r="E27" s="20" t="s">
        <v>5</v>
      </c>
      <c r="F27" s="20" t="s">
        <v>7</v>
      </c>
      <c r="G27" s="21" t="s">
        <v>44</v>
      </c>
      <c r="H27" s="22" t="s">
        <v>71</v>
      </c>
      <c r="I27" s="22" t="s">
        <v>73</v>
      </c>
    </row>
    <row r="28" spans="2:18" x14ac:dyDescent="0.2">
      <c r="C28" s="17"/>
      <c r="D28" s="5" t="s">
        <v>10</v>
      </c>
      <c r="E28" s="5" t="s">
        <v>6</v>
      </c>
      <c r="F28" s="5" t="s">
        <v>8</v>
      </c>
      <c r="G28" s="6" t="s">
        <v>45</v>
      </c>
      <c r="H28" s="23" t="s">
        <v>72</v>
      </c>
      <c r="I28" s="23" t="s">
        <v>74</v>
      </c>
    </row>
    <row r="29" spans="2:18" x14ac:dyDescent="0.2">
      <c r="C29" s="18"/>
      <c r="D29" s="64" t="s">
        <v>3</v>
      </c>
      <c r="E29" s="64" t="s">
        <v>3</v>
      </c>
      <c r="F29" s="64" t="s">
        <v>3</v>
      </c>
      <c r="G29" s="64" t="s">
        <v>3</v>
      </c>
      <c r="H29" s="123" t="s">
        <v>3</v>
      </c>
      <c r="I29" s="24" t="s">
        <v>3</v>
      </c>
    </row>
    <row r="30" spans="2:18" x14ac:dyDescent="0.2">
      <c r="C30" s="17">
        <v>2007</v>
      </c>
      <c r="D30" s="8">
        <f>TREND(D$10:D$20,$C$10:$C$20,$C30)</f>
        <v>91.009090909090446</v>
      </c>
      <c r="E30" s="8">
        <f>TREND(E$10:E$20,$C$10:$C$20,$C30)</f>
        <v>54.536363636363603</v>
      </c>
      <c r="F30" s="8">
        <f t="shared" ref="F30:H58" si="4">TREND(F$10:F$20,$C$10:$C$20,$C30)</f>
        <v>68.263636363635669</v>
      </c>
      <c r="G30" s="8">
        <f t="shared" si="4"/>
        <v>38.141018181818254</v>
      </c>
      <c r="H30" s="8">
        <f t="shared" si="4"/>
        <v>14.472727272727298</v>
      </c>
      <c r="I30" s="126">
        <f t="shared" ref="H30:I30" si="5">TREND(I$10:I$19,$C$10:$C$19,$C30)</f>
        <v>52.996464969696717</v>
      </c>
    </row>
    <row r="31" spans="2:18" x14ac:dyDescent="0.2">
      <c r="C31" s="17">
        <f t="shared" ref="C31:C38" si="6">1+C30</f>
        <v>2008</v>
      </c>
      <c r="D31" s="8">
        <f t="shared" ref="D31:E58" si="7">TREND(D$10:D$20,$C$10:$C$20,$C31)</f>
        <v>96.216363636363894</v>
      </c>
      <c r="E31" s="8">
        <f t="shared" si="7"/>
        <v>57.63727272727283</v>
      </c>
      <c r="F31" s="8">
        <f t="shared" si="4"/>
        <v>75.226363636364113</v>
      </c>
      <c r="G31" s="8">
        <f t="shared" si="4"/>
        <v>41.416592727273382</v>
      </c>
      <c r="H31" s="8">
        <f t="shared" si="4"/>
        <v>15.960909090908899</v>
      </c>
      <c r="I31" s="69">
        <f t="shared" ref="D30:I45" si="8">TREND(I$10:I$19,$C$10:$C$19,$C31)</f>
        <v>56.859346909090164</v>
      </c>
    </row>
    <row r="32" spans="2:18" x14ac:dyDescent="0.2">
      <c r="C32" s="17">
        <f t="shared" si="6"/>
        <v>2009</v>
      </c>
      <c r="D32" s="8">
        <f t="shared" si="7"/>
        <v>101.42363636363552</v>
      </c>
      <c r="E32" s="8">
        <f t="shared" si="7"/>
        <v>60.738181818182056</v>
      </c>
      <c r="F32" s="8">
        <f t="shared" si="4"/>
        <v>82.189090909090737</v>
      </c>
      <c r="G32" s="8">
        <f t="shared" si="4"/>
        <v>44.692167272727602</v>
      </c>
      <c r="H32" s="8">
        <f t="shared" si="4"/>
        <v>17.449090909090501</v>
      </c>
      <c r="I32" s="69">
        <f t="shared" si="8"/>
        <v>60.722228848484519</v>
      </c>
    </row>
    <row r="33" spans="3:9" x14ac:dyDescent="0.2">
      <c r="C33" s="17">
        <f t="shared" si="6"/>
        <v>2010</v>
      </c>
      <c r="D33" s="8">
        <f t="shared" si="7"/>
        <v>106.63090909090897</v>
      </c>
      <c r="E33" s="8">
        <f t="shared" si="7"/>
        <v>63.839090909091283</v>
      </c>
      <c r="F33" s="8">
        <f t="shared" si="4"/>
        <v>89.151818181819181</v>
      </c>
      <c r="G33" s="8">
        <f t="shared" si="4"/>
        <v>47.967741818181821</v>
      </c>
      <c r="H33" s="8">
        <f t="shared" si="4"/>
        <v>18.937272727272557</v>
      </c>
      <c r="I33" s="69">
        <f t="shared" si="8"/>
        <v>64.585110787877966</v>
      </c>
    </row>
    <row r="34" spans="3:9" x14ac:dyDescent="0.2">
      <c r="C34" s="17">
        <f t="shared" si="6"/>
        <v>2011</v>
      </c>
      <c r="D34" s="8">
        <f t="shared" si="7"/>
        <v>111.83818181818242</v>
      </c>
      <c r="E34" s="8">
        <f t="shared" si="7"/>
        <v>66.940000000000509</v>
      </c>
      <c r="F34" s="8">
        <f t="shared" si="4"/>
        <v>96.114545454545805</v>
      </c>
      <c r="G34" s="8">
        <f t="shared" si="4"/>
        <v>51.24331636363695</v>
      </c>
      <c r="H34" s="8">
        <f t="shared" si="4"/>
        <v>20.425454545454159</v>
      </c>
      <c r="I34" s="69">
        <f t="shared" si="8"/>
        <v>68.447992727272322</v>
      </c>
    </row>
    <row r="35" spans="3:9" x14ac:dyDescent="0.2">
      <c r="C35" s="17">
        <f t="shared" si="6"/>
        <v>2012</v>
      </c>
      <c r="D35" s="8">
        <f t="shared" si="7"/>
        <v>117.04545454545405</v>
      </c>
      <c r="E35" s="8">
        <f t="shared" si="7"/>
        <v>70.040909090908826</v>
      </c>
      <c r="F35" s="8">
        <f t="shared" si="4"/>
        <v>103.07727272727243</v>
      </c>
      <c r="G35" s="8">
        <f t="shared" si="4"/>
        <v>54.518890909091169</v>
      </c>
      <c r="H35" s="8">
        <f t="shared" si="4"/>
        <v>21.913636363636215</v>
      </c>
      <c r="I35" s="69">
        <f t="shared" si="8"/>
        <v>72.310874666666678</v>
      </c>
    </row>
    <row r="36" spans="3:9" x14ac:dyDescent="0.2">
      <c r="C36" s="17">
        <f t="shared" si="6"/>
        <v>2013</v>
      </c>
      <c r="D36" s="8">
        <f t="shared" si="7"/>
        <v>122.2527272727275</v>
      </c>
      <c r="E36" s="8">
        <f t="shared" si="7"/>
        <v>73.141818181818053</v>
      </c>
      <c r="F36" s="8">
        <f t="shared" si="4"/>
        <v>110.04000000000087</v>
      </c>
      <c r="G36" s="8">
        <f t="shared" si="4"/>
        <v>57.794465454545389</v>
      </c>
      <c r="H36" s="8">
        <f t="shared" si="4"/>
        <v>23.401818181817816</v>
      </c>
      <c r="I36" s="69">
        <f t="shared" si="8"/>
        <v>76.173756606060124</v>
      </c>
    </row>
    <row r="37" spans="3:9" x14ac:dyDescent="0.2">
      <c r="C37" s="17">
        <f t="shared" si="6"/>
        <v>2014</v>
      </c>
      <c r="D37" s="8">
        <f t="shared" si="7"/>
        <v>127.45999999999913</v>
      </c>
      <c r="E37" s="8">
        <f t="shared" si="7"/>
        <v>76.242727272727279</v>
      </c>
      <c r="F37" s="8">
        <f t="shared" si="4"/>
        <v>117.0027272727275</v>
      </c>
      <c r="G37" s="8">
        <f t="shared" si="4"/>
        <v>61.070040000000517</v>
      </c>
      <c r="H37" s="8">
        <f t="shared" si="4"/>
        <v>24.889999999999873</v>
      </c>
      <c r="I37" s="69">
        <f t="shared" si="8"/>
        <v>80.03663854545448</v>
      </c>
    </row>
    <row r="38" spans="3:9" x14ac:dyDescent="0.2">
      <c r="C38" s="17">
        <f t="shared" si="6"/>
        <v>2015</v>
      </c>
      <c r="D38" s="8">
        <f t="shared" si="7"/>
        <v>132.66727272727258</v>
      </c>
      <c r="E38" s="8">
        <f t="shared" si="7"/>
        <v>79.343636363636506</v>
      </c>
      <c r="F38" s="8">
        <f t="shared" si="4"/>
        <v>123.96545454545412</v>
      </c>
      <c r="G38" s="8">
        <f t="shared" si="4"/>
        <v>64.345614545454737</v>
      </c>
      <c r="H38" s="8">
        <f t="shared" si="4"/>
        <v>26.378181818181474</v>
      </c>
      <c r="I38" s="69">
        <f t="shared" si="8"/>
        <v>83.899520484847926</v>
      </c>
    </row>
    <row r="39" spans="3:9" x14ac:dyDescent="0.2">
      <c r="C39" s="17">
        <f>1+C38</f>
        <v>2016</v>
      </c>
      <c r="D39" s="8">
        <f t="shared" si="7"/>
        <v>137.87454545454602</v>
      </c>
      <c r="E39" s="8">
        <f t="shared" si="7"/>
        <v>82.444545454545732</v>
      </c>
      <c r="F39" s="8">
        <f t="shared" si="4"/>
        <v>130.92818181818257</v>
      </c>
      <c r="G39" s="8">
        <f t="shared" si="4"/>
        <v>67.621189090909866</v>
      </c>
      <c r="H39" s="8">
        <f t="shared" si="4"/>
        <v>27.866363636363531</v>
      </c>
      <c r="I39" s="69">
        <f t="shared" si="8"/>
        <v>87.762402424242282</v>
      </c>
    </row>
    <row r="40" spans="3:9" x14ac:dyDescent="0.2">
      <c r="C40" s="17">
        <f>1+C39</f>
        <v>2017</v>
      </c>
      <c r="D40" s="8">
        <f t="shared" si="7"/>
        <v>143.08181818181765</v>
      </c>
      <c r="E40" s="8">
        <f t="shared" si="7"/>
        <v>85.545454545454959</v>
      </c>
      <c r="F40" s="8">
        <f t="shared" si="4"/>
        <v>137.89090909090919</v>
      </c>
      <c r="G40" s="8">
        <f t="shared" si="4"/>
        <v>70.896763636364085</v>
      </c>
      <c r="H40" s="8">
        <f t="shared" si="4"/>
        <v>29.354545454545132</v>
      </c>
      <c r="I40" s="69">
        <f t="shared" si="8"/>
        <v>91.625284363635728</v>
      </c>
    </row>
    <row r="41" spans="3:9" x14ac:dyDescent="0.2">
      <c r="C41" s="17">
        <f>1+C40</f>
        <v>2018</v>
      </c>
      <c r="D41" s="8">
        <f t="shared" si="7"/>
        <v>148.2890909090911</v>
      </c>
      <c r="E41" s="8">
        <f t="shared" si="7"/>
        <v>88.646363636363276</v>
      </c>
      <c r="F41" s="8">
        <f t="shared" si="4"/>
        <v>144.85363636363581</v>
      </c>
      <c r="G41" s="8">
        <f t="shared" si="4"/>
        <v>74.172338181818304</v>
      </c>
      <c r="H41" s="8">
        <f t="shared" si="4"/>
        <v>30.842727272727188</v>
      </c>
      <c r="I41" s="69">
        <f t="shared" si="8"/>
        <v>95.488166303030084</v>
      </c>
    </row>
    <row r="42" spans="3:9" x14ac:dyDescent="0.2">
      <c r="C42" s="17">
        <f>1+C41</f>
        <v>2019</v>
      </c>
      <c r="D42" s="8">
        <f t="shared" si="7"/>
        <v>153.49636363636273</v>
      </c>
      <c r="E42" s="8">
        <f t="shared" si="7"/>
        <v>91.747272727272502</v>
      </c>
      <c r="F42" s="8">
        <f t="shared" si="4"/>
        <v>151.81636363636426</v>
      </c>
      <c r="G42" s="8">
        <f t="shared" si="4"/>
        <v>77.447912727273433</v>
      </c>
      <c r="H42" s="8">
        <f t="shared" si="4"/>
        <v>32.33090909090879</v>
      </c>
      <c r="I42" s="69">
        <f t="shared" si="8"/>
        <v>99.351048242423531</v>
      </c>
    </row>
    <row r="43" spans="3:9" x14ac:dyDescent="0.2">
      <c r="C43" s="25">
        <f>1+C42</f>
        <v>2020</v>
      </c>
      <c r="D43" s="124">
        <f t="shared" si="7"/>
        <v>158.70363636363618</v>
      </c>
      <c r="E43" s="124">
        <f t="shared" si="7"/>
        <v>94.848181818181729</v>
      </c>
      <c r="F43" s="124">
        <f t="shared" si="4"/>
        <v>158.77909090909088</v>
      </c>
      <c r="G43" s="124">
        <f t="shared" si="4"/>
        <v>80.723487272727652</v>
      </c>
      <c r="H43" s="124">
        <f t="shared" si="4"/>
        <v>33.819090909090846</v>
      </c>
      <c r="I43" s="125">
        <f t="shared" si="8"/>
        <v>103.21393018181789</v>
      </c>
    </row>
    <row r="44" spans="3:9" x14ac:dyDescent="0.2">
      <c r="C44" s="17">
        <f t="shared" ref="C44:C55" si="9">1+C43</f>
        <v>2021</v>
      </c>
      <c r="D44" s="8">
        <f t="shared" si="7"/>
        <v>163.91090909090963</v>
      </c>
      <c r="E44" s="8">
        <f t="shared" si="7"/>
        <v>97.949090909090955</v>
      </c>
      <c r="F44" s="8">
        <f t="shared" si="4"/>
        <v>165.74181818181751</v>
      </c>
      <c r="G44" s="8">
        <f t="shared" si="4"/>
        <v>83.999061818181872</v>
      </c>
      <c r="H44" s="8">
        <f t="shared" si="4"/>
        <v>35.307272727272448</v>
      </c>
      <c r="I44" s="69">
        <f t="shared" si="8"/>
        <v>107.07681212121133</v>
      </c>
    </row>
    <row r="45" spans="3:9" x14ac:dyDescent="0.2">
      <c r="C45" s="17">
        <f>1+C44</f>
        <v>2022</v>
      </c>
      <c r="D45" s="8">
        <f t="shared" si="7"/>
        <v>169.11818181818126</v>
      </c>
      <c r="E45" s="8">
        <f t="shared" si="7"/>
        <v>101.05000000000018</v>
      </c>
      <c r="F45" s="8">
        <f t="shared" si="4"/>
        <v>172.70454545454595</v>
      </c>
      <c r="G45" s="8">
        <f t="shared" si="4"/>
        <v>87.274636363637001</v>
      </c>
      <c r="H45" s="8">
        <f t="shared" si="4"/>
        <v>36.795454545454504</v>
      </c>
      <c r="I45" s="69">
        <f t="shared" si="8"/>
        <v>110.93969406060569</v>
      </c>
    </row>
    <row r="46" spans="3:9" x14ac:dyDescent="0.2">
      <c r="C46" s="17">
        <f t="shared" si="9"/>
        <v>2023</v>
      </c>
      <c r="D46" s="8">
        <f t="shared" si="7"/>
        <v>174.3254545454547</v>
      </c>
      <c r="E46" s="8">
        <f t="shared" si="7"/>
        <v>104.15090909090941</v>
      </c>
      <c r="F46" s="8">
        <f t="shared" si="4"/>
        <v>179.66727272727258</v>
      </c>
      <c r="G46" s="8">
        <f t="shared" si="4"/>
        <v>90.55021090909122</v>
      </c>
      <c r="H46" s="8">
        <f t="shared" si="4"/>
        <v>38.283636363636106</v>
      </c>
      <c r="I46" s="69">
        <f t="shared" ref="D46:I58" si="10">TREND(I$10:I$19,$C$10:$C$19,$C46)</f>
        <v>114.80257599999914</v>
      </c>
    </row>
    <row r="47" spans="3:9" x14ac:dyDescent="0.2">
      <c r="C47" s="17">
        <f t="shared" si="9"/>
        <v>2024</v>
      </c>
      <c r="D47" s="8">
        <f t="shared" si="7"/>
        <v>179.53272727272815</v>
      </c>
      <c r="E47" s="8">
        <f t="shared" si="7"/>
        <v>107.25181818181863</v>
      </c>
      <c r="F47" s="8">
        <f t="shared" si="4"/>
        <v>186.6299999999992</v>
      </c>
      <c r="G47" s="8">
        <f t="shared" si="4"/>
        <v>93.825785454545439</v>
      </c>
      <c r="H47" s="8">
        <f t="shared" si="4"/>
        <v>39.771818181818162</v>
      </c>
      <c r="I47" s="69">
        <f t="shared" si="10"/>
        <v>118.66545793939349</v>
      </c>
    </row>
    <row r="48" spans="3:9" x14ac:dyDescent="0.2">
      <c r="C48" s="17">
        <f t="shared" si="9"/>
        <v>2025</v>
      </c>
      <c r="D48" s="8">
        <f t="shared" si="7"/>
        <v>184.73999999999978</v>
      </c>
      <c r="E48" s="8">
        <f t="shared" si="7"/>
        <v>110.35272727272695</v>
      </c>
      <c r="F48" s="8">
        <f t="shared" si="4"/>
        <v>193.59272727272764</v>
      </c>
      <c r="G48" s="8">
        <f t="shared" si="4"/>
        <v>97.101360000000568</v>
      </c>
      <c r="H48" s="8">
        <f t="shared" si="4"/>
        <v>41.259999999999764</v>
      </c>
      <c r="I48" s="69">
        <f t="shared" si="10"/>
        <v>122.52833987878785</v>
      </c>
    </row>
    <row r="49" spans="3:9" x14ac:dyDescent="0.2">
      <c r="C49" s="17">
        <f t="shared" si="9"/>
        <v>2026</v>
      </c>
      <c r="D49" s="8">
        <f t="shared" si="7"/>
        <v>189.94727272727323</v>
      </c>
      <c r="E49" s="8">
        <f t="shared" si="7"/>
        <v>113.45363636363618</v>
      </c>
      <c r="F49" s="8">
        <f t="shared" si="4"/>
        <v>200.55545454545427</v>
      </c>
      <c r="G49" s="8">
        <f t="shared" si="4"/>
        <v>100.37693454545479</v>
      </c>
      <c r="H49" s="8">
        <f t="shared" si="4"/>
        <v>42.74818181818182</v>
      </c>
      <c r="I49" s="69">
        <f t="shared" si="10"/>
        <v>126.39122181818129</v>
      </c>
    </row>
    <row r="50" spans="3:9" x14ac:dyDescent="0.2">
      <c r="C50" s="17">
        <f t="shared" si="9"/>
        <v>2027</v>
      </c>
      <c r="D50" s="8">
        <f t="shared" si="7"/>
        <v>195.15454545454486</v>
      </c>
      <c r="E50" s="8">
        <f t="shared" si="7"/>
        <v>116.5545454545454</v>
      </c>
      <c r="F50" s="8">
        <f t="shared" si="4"/>
        <v>207.51818181818271</v>
      </c>
      <c r="G50" s="8">
        <f t="shared" si="4"/>
        <v>103.65250909090901</v>
      </c>
      <c r="H50" s="8">
        <f t="shared" si="4"/>
        <v>44.236363636363421</v>
      </c>
      <c r="I50" s="69">
        <f t="shared" si="10"/>
        <v>130.25410375757565</v>
      </c>
    </row>
    <row r="51" spans="3:9" x14ac:dyDescent="0.2">
      <c r="C51" s="17">
        <f t="shared" si="9"/>
        <v>2028</v>
      </c>
      <c r="D51" s="8">
        <f t="shared" si="7"/>
        <v>200.36181818181831</v>
      </c>
      <c r="E51" s="8">
        <f t="shared" si="7"/>
        <v>119.65545454545463</v>
      </c>
      <c r="F51" s="8">
        <f t="shared" si="4"/>
        <v>214.48090909090934</v>
      </c>
      <c r="G51" s="8">
        <f t="shared" si="4"/>
        <v>106.92808363636414</v>
      </c>
      <c r="H51" s="8">
        <f t="shared" si="4"/>
        <v>45.724545454545023</v>
      </c>
      <c r="I51" s="69">
        <f t="shared" si="10"/>
        <v>134.1169856969691</v>
      </c>
    </row>
    <row r="52" spans="3:9" x14ac:dyDescent="0.2">
      <c r="C52" s="17">
        <f t="shared" si="9"/>
        <v>2029</v>
      </c>
      <c r="D52" s="8">
        <f t="shared" si="7"/>
        <v>205.56909090909176</v>
      </c>
      <c r="E52" s="8">
        <f t="shared" si="7"/>
        <v>122.75636363636386</v>
      </c>
      <c r="F52" s="8">
        <f t="shared" si="4"/>
        <v>221.44363636363596</v>
      </c>
      <c r="G52" s="8">
        <f t="shared" si="4"/>
        <v>110.20365818181835</v>
      </c>
      <c r="H52" s="8">
        <f t="shared" si="4"/>
        <v>47.212727272727079</v>
      </c>
      <c r="I52" s="69">
        <f t="shared" si="10"/>
        <v>137.97986763636345</v>
      </c>
    </row>
    <row r="53" spans="3:9" x14ac:dyDescent="0.2">
      <c r="C53" s="17">
        <f t="shared" si="9"/>
        <v>2030</v>
      </c>
      <c r="D53" s="8">
        <f t="shared" si="7"/>
        <v>210.77636363636339</v>
      </c>
      <c r="E53" s="8">
        <f t="shared" si="7"/>
        <v>125.85727272727308</v>
      </c>
      <c r="F53" s="8">
        <f t="shared" si="4"/>
        <v>228.4063636363644</v>
      </c>
      <c r="G53" s="8">
        <f t="shared" si="4"/>
        <v>113.47923272727348</v>
      </c>
      <c r="H53" s="8">
        <f t="shared" si="4"/>
        <v>48.700909090908681</v>
      </c>
      <c r="I53" s="69">
        <f t="shared" si="10"/>
        <v>141.8427495757569</v>
      </c>
    </row>
    <row r="54" spans="3:9" x14ac:dyDescent="0.2">
      <c r="C54" s="17">
        <f t="shared" si="9"/>
        <v>2031</v>
      </c>
      <c r="D54" s="8">
        <f t="shared" si="7"/>
        <v>215.98363636363683</v>
      </c>
      <c r="E54" s="8">
        <f t="shared" si="7"/>
        <v>128.95818181818231</v>
      </c>
      <c r="F54" s="8">
        <f t="shared" si="4"/>
        <v>235.36909090909103</v>
      </c>
      <c r="G54" s="8">
        <f t="shared" si="4"/>
        <v>116.7548072727277</v>
      </c>
      <c r="H54" s="8">
        <f t="shared" si="4"/>
        <v>50.189090909090737</v>
      </c>
      <c r="I54" s="69">
        <f t="shared" si="10"/>
        <v>145.70563151515125</v>
      </c>
    </row>
    <row r="55" spans="3:9" x14ac:dyDescent="0.2">
      <c r="C55" s="17">
        <f t="shared" si="9"/>
        <v>2032</v>
      </c>
      <c r="D55" s="8">
        <f t="shared" si="7"/>
        <v>221.19090909090846</v>
      </c>
      <c r="E55" s="8">
        <f t="shared" si="7"/>
        <v>132.05909090909063</v>
      </c>
      <c r="F55" s="8">
        <f t="shared" si="4"/>
        <v>242.33181818181765</v>
      </c>
      <c r="G55" s="8">
        <f t="shared" si="4"/>
        <v>120.03038181818192</v>
      </c>
      <c r="H55" s="8">
        <f t="shared" si="4"/>
        <v>51.677272727272339</v>
      </c>
      <c r="I55" s="69">
        <f t="shared" si="10"/>
        <v>149.5685134545447</v>
      </c>
    </row>
    <row r="56" spans="3:9" x14ac:dyDescent="0.2">
      <c r="C56" s="17">
        <f>1+C55</f>
        <v>2033</v>
      </c>
      <c r="D56" s="8">
        <f t="shared" si="7"/>
        <v>226.39818181818191</v>
      </c>
      <c r="E56" s="8">
        <f t="shared" si="7"/>
        <v>135.15999999999985</v>
      </c>
      <c r="F56" s="8">
        <f t="shared" si="4"/>
        <v>249.2945454545461</v>
      </c>
      <c r="G56" s="8">
        <f t="shared" si="4"/>
        <v>123.30595636363705</v>
      </c>
      <c r="H56" s="8">
        <f t="shared" si="4"/>
        <v>53.165454545454395</v>
      </c>
      <c r="I56" s="69">
        <f t="shared" si="10"/>
        <v>153.43139539393906</v>
      </c>
    </row>
    <row r="57" spans="3:9" x14ac:dyDescent="0.2">
      <c r="C57" s="17">
        <f>1+C56</f>
        <v>2034</v>
      </c>
      <c r="D57" s="8">
        <f t="shared" si="7"/>
        <v>231.60545454545536</v>
      </c>
      <c r="E57" s="8">
        <f t="shared" si="7"/>
        <v>138.26090909090908</v>
      </c>
      <c r="F57" s="8">
        <f t="shared" si="4"/>
        <v>256.25727272727272</v>
      </c>
      <c r="G57" s="8">
        <f t="shared" si="4"/>
        <v>126.58153090909127</v>
      </c>
      <c r="H57" s="8">
        <f t="shared" si="4"/>
        <v>54.653636363635997</v>
      </c>
      <c r="I57" s="69">
        <f t="shared" si="10"/>
        <v>157.2942773333325</v>
      </c>
    </row>
    <row r="58" spans="3:9" x14ac:dyDescent="0.2">
      <c r="C58" s="25">
        <f>1+C57</f>
        <v>2035</v>
      </c>
      <c r="D58" s="124">
        <f t="shared" si="7"/>
        <v>236.81272727272699</v>
      </c>
      <c r="E58" s="124">
        <f t="shared" si="7"/>
        <v>141.36181818181831</v>
      </c>
      <c r="F58" s="124">
        <f t="shared" si="4"/>
        <v>263.21999999999935</v>
      </c>
      <c r="G58" s="124">
        <f t="shared" si="4"/>
        <v>129.85710545454549</v>
      </c>
      <c r="H58" s="124">
        <f t="shared" si="4"/>
        <v>56.141818181818053</v>
      </c>
      <c r="I58" s="125">
        <f t="shared" si="10"/>
        <v>161.15715927272686</v>
      </c>
    </row>
    <row r="59" spans="3:9" x14ac:dyDescent="0.2">
      <c r="C59" s="10"/>
    </row>
    <row r="60" spans="3:9" x14ac:dyDescent="0.2">
      <c r="C60" s="10"/>
    </row>
    <row r="84" spans="3:8" ht="13.5" thickBot="1" x14ac:dyDescent="0.25"/>
    <row r="85" spans="3:8" x14ac:dyDescent="0.2">
      <c r="C85" s="48"/>
      <c r="D85" s="4" t="s">
        <v>9</v>
      </c>
      <c r="E85" s="4" t="s">
        <v>5</v>
      </c>
      <c r="F85" s="4" t="s">
        <v>7</v>
      </c>
      <c r="G85" s="4" t="s">
        <v>11</v>
      </c>
      <c r="H85" s="49" t="s">
        <v>44</v>
      </c>
    </row>
    <row r="86" spans="3:8" x14ac:dyDescent="0.2">
      <c r="C86" s="50" t="s">
        <v>1</v>
      </c>
      <c r="D86" s="5" t="s">
        <v>10</v>
      </c>
      <c r="E86" s="5" t="s">
        <v>6</v>
      </c>
      <c r="F86" s="5" t="s">
        <v>8</v>
      </c>
      <c r="G86" s="5" t="s">
        <v>12</v>
      </c>
      <c r="H86" s="51" t="s">
        <v>45</v>
      </c>
    </row>
    <row r="87" spans="3:8" ht="13.5" thickBot="1" x14ac:dyDescent="0.25">
      <c r="C87" s="52"/>
      <c r="D87" s="1" t="s">
        <v>3</v>
      </c>
      <c r="E87" s="1" t="s">
        <v>3</v>
      </c>
      <c r="F87" s="1" t="s">
        <v>3</v>
      </c>
      <c r="G87" s="1" t="s">
        <v>3</v>
      </c>
      <c r="H87" s="53" t="s">
        <v>3</v>
      </c>
    </row>
    <row r="88" spans="3:8" x14ac:dyDescent="0.2">
      <c r="C88" s="54">
        <v>2010</v>
      </c>
      <c r="D88" s="9">
        <f t="shared" ref="D88:G96" si="11">D33</f>
        <v>106.63090909090897</v>
      </c>
      <c r="E88" s="9">
        <f t="shared" si="11"/>
        <v>63.839090909091283</v>
      </c>
      <c r="F88" s="9">
        <f t="shared" si="11"/>
        <v>89.151818181819181</v>
      </c>
      <c r="G88" s="9">
        <f t="shared" si="11"/>
        <v>47.967741818181821</v>
      </c>
      <c r="H88" s="55">
        <f t="shared" ref="H88:H98" si="12">H33</f>
        <v>18.937272727272557</v>
      </c>
    </row>
    <row r="89" spans="3:8" x14ac:dyDescent="0.2">
      <c r="C89" s="56">
        <v>2011</v>
      </c>
      <c r="D89" s="8">
        <f t="shared" si="11"/>
        <v>111.83818181818242</v>
      </c>
      <c r="E89" s="8">
        <f t="shared" si="11"/>
        <v>66.940000000000509</v>
      </c>
      <c r="F89" s="8">
        <f t="shared" si="11"/>
        <v>96.114545454545805</v>
      </c>
      <c r="G89" s="8">
        <f t="shared" si="11"/>
        <v>51.24331636363695</v>
      </c>
      <c r="H89" s="57">
        <f t="shared" si="12"/>
        <v>20.425454545454159</v>
      </c>
    </row>
    <row r="90" spans="3:8" x14ac:dyDescent="0.2">
      <c r="C90" s="56">
        <v>2012</v>
      </c>
      <c r="D90" s="8">
        <f t="shared" si="11"/>
        <v>117.04545454545405</v>
      </c>
      <c r="E90" s="8">
        <f t="shared" si="11"/>
        <v>70.040909090908826</v>
      </c>
      <c r="F90" s="8">
        <f t="shared" si="11"/>
        <v>103.07727272727243</v>
      </c>
      <c r="G90" s="8">
        <f t="shared" si="11"/>
        <v>54.518890909091169</v>
      </c>
      <c r="H90" s="57">
        <f t="shared" si="12"/>
        <v>21.913636363636215</v>
      </c>
    </row>
    <row r="91" spans="3:8" x14ac:dyDescent="0.2">
      <c r="C91" s="56">
        <v>2013</v>
      </c>
      <c r="D91" s="8">
        <f t="shared" si="11"/>
        <v>122.2527272727275</v>
      </c>
      <c r="E91" s="8">
        <f t="shared" si="11"/>
        <v>73.141818181818053</v>
      </c>
      <c r="F91" s="8">
        <f t="shared" si="11"/>
        <v>110.04000000000087</v>
      </c>
      <c r="G91" s="8">
        <f t="shared" si="11"/>
        <v>57.794465454545389</v>
      </c>
      <c r="H91" s="57">
        <f t="shared" si="12"/>
        <v>23.401818181817816</v>
      </c>
    </row>
    <row r="92" spans="3:8" x14ac:dyDescent="0.2">
      <c r="C92" s="56">
        <v>2014</v>
      </c>
      <c r="D92" s="8">
        <f t="shared" si="11"/>
        <v>127.45999999999913</v>
      </c>
      <c r="E92" s="8">
        <f t="shared" si="11"/>
        <v>76.242727272727279</v>
      </c>
      <c r="F92" s="8">
        <f t="shared" si="11"/>
        <v>117.0027272727275</v>
      </c>
      <c r="G92" s="8">
        <f t="shared" si="11"/>
        <v>61.070040000000517</v>
      </c>
      <c r="H92" s="57">
        <f t="shared" si="12"/>
        <v>24.889999999999873</v>
      </c>
    </row>
    <row r="93" spans="3:8" x14ac:dyDescent="0.2">
      <c r="C93" s="58">
        <v>2015</v>
      </c>
      <c r="D93" s="13">
        <f t="shared" si="11"/>
        <v>132.66727272727258</v>
      </c>
      <c r="E93" s="13">
        <f t="shared" si="11"/>
        <v>79.343636363636506</v>
      </c>
      <c r="F93" s="13">
        <f t="shared" si="11"/>
        <v>123.96545454545412</v>
      </c>
      <c r="G93" s="13">
        <f t="shared" si="11"/>
        <v>64.345614545454737</v>
      </c>
      <c r="H93" s="59">
        <f t="shared" si="12"/>
        <v>26.378181818181474</v>
      </c>
    </row>
    <row r="94" spans="3:8" x14ac:dyDescent="0.2">
      <c r="C94" s="56">
        <v>2016</v>
      </c>
      <c r="D94" s="8">
        <f t="shared" si="11"/>
        <v>137.87454545454602</v>
      </c>
      <c r="E94" s="8">
        <f t="shared" si="11"/>
        <v>82.444545454545732</v>
      </c>
      <c r="F94" s="8">
        <f t="shared" si="11"/>
        <v>130.92818181818257</v>
      </c>
      <c r="G94" s="8">
        <f t="shared" si="11"/>
        <v>67.621189090909866</v>
      </c>
      <c r="H94" s="57">
        <f t="shared" si="12"/>
        <v>27.866363636363531</v>
      </c>
    </row>
    <row r="95" spans="3:8" x14ac:dyDescent="0.2">
      <c r="C95" s="56">
        <v>2017</v>
      </c>
      <c r="D95" s="8">
        <f t="shared" si="11"/>
        <v>143.08181818181765</v>
      </c>
      <c r="E95" s="8">
        <f t="shared" si="11"/>
        <v>85.545454545454959</v>
      </c>
      <c r="F95" s="8">
        <f t="shared" si="11"/>
        <v>137.89090909090919</v>
      </c>
      <c r="G95" s="8">
        <f t="shared" si="11"/>
        <v>70.896763636364085</v>
      </c>
      <c r="H95" s="57">
        <f t="shared" si="12"/>
        <v>29.354545454545132</v>
      </c>
    </row>
    <row r="96" spans="3:8" x14ac:dyDescent="0.2">
      <c r="C96" s="56">
        <v>2018</v>
      </c>
      <c r="D96" s="8">
        <f t="shared" si="11"/>
        <v>148.2890909090911</v>
      </c>
      <c r="E96" s="8">
        <f t="shared" si="11"/>
        <v>88.646363636363276</v>
      </c>
      <c r="F96" s="8">
        <f t="shared" si="11"/>
        <v>144.85363636363581</v>
      </c>
      <c r="G96" s="8">
        <f t="shared" si="11"/>
        <v>74.172338181818304</v>
      </c>
      <c r="H96" s="57">
        <f t="shared" si="12"/>
        <v>30.842727272727188</v>
      </c>
    </row>
    <row r="97" spans="2:9" x14ac:dyDescent="0.2">
      <c r="C97" s="56">
        <v>2019</v>
      </c>
      <c r="D97" s="8">
        <f t="shared" ref="D97:G98" si="13">D42</f>
        <v>153.49636363636273</v>
      </c>
      <c r="E97" s="8">
        <f t="shared" si="13"/>
        <v>91.747272727272502</v>
      </c>
      <c r="F97" s="8">
        <f t="shared" si="13"/>
        <v>151.81636363636426</v>
      </c>
      <c r="G97" s="8">
        <f t="shared" si="13"/>
        <v>77.447912727273433</v>
      </c>
      <c r="H97" s="57">
        <f t="shared" si="12"/>
        <v>32.33090909090879</v>
      </c>
    </row>
    <row r="98" spans="2:9" ht="13.5" thickBot="1" x14ac:dyDescent="0.25">
      <c r="C98" s="60">
        <v>2020</v>
      </c>
      <c r="D98" s="61">
        <f t="shared" si="13"/>
        <v>158.70363636363618</v>
      </c>
      <c r="E98" s="61">
        <f t="shared" si="13"/>
        <v>94.848181818181729</v>
      </c>
      <c r="F98" s="61">
        <f t="shared" si="13"/>
        <v>158.77909090909088</v>
      </c>
      <c r="G98" s="61">
        <f t="shared" si="13"/>
        <v>80.723487272727652</v>
      </c>
      <c r="H98" s="62">
        <f t="shared" si="12"/>
        <v>33.819090909090846</v>
      </c>
    </row>
    <row r="99" spans="2:9" x14ac:dyDescent="0.2">
      <c r="D99"/>
    </row>
    <row r="104" spans="2:9" ht="14.1" customHeight="1" x14ac:dyDescent="0.2">
      <c r="B104" s="38" t="s">
        <v>43</v>
      </c>
      <c r="C104" s="20"/>
      <c r="D104" s="19" t="s">
        <v>39</v>
      </c>
      <c r="E104" s="20" t="s">
        <v>77</v>
      </c>
      <c r="F104" s="20" t="s">
        <v>78</v>
      </c>
      <c r="G104" s="19" t="s">
        <v>41</v>
      </c>
      <c r="H104" s="20" t="s">
        <v>50</v>
      </c>
      <c r="I104" s="39" t="s">
        <v>42</v>
      </c>
    </row>
    <row r="105" spans="2:9" ht="14.1" customHeight="1" x14ac:dyDescent="0.2">
      <c r="B105" s="74"/>
      <c r="C105" s="75"/>
      <c r="D105" s="74" t="s">
        <v>10</v>
      </c>
      <c r="E105" s="75" t="s">
        <v>6</v>
      </c>
      <c r="F105" s="75" t="s">
        <v>79</v>
      </c>
      <c r="G105" s="74" t="s">
        <v>6</v>
      </c>
      <c r="H105" s="75" t="s">
        <v>68</v>
      </c>
      <c r="I105" s="76" t="s">
        <v>68</v>
      </c>
    </row>
    <row r="106" spans="2:9" ht="14.1" customHeight="1" x14ac:dyDescent="0.2">
      <c r="B106" s="74"/>
      <c r="C106" s="75"/>
      <c r="D106" s="85"/>
      <c r="E106" s="86" t="s">
        <v>40</v>
      </c>
      <c r="F106" s="86" t="s">
        <v>40</v>
      </c>
      <c r="G106" s="74"/>
      <c r="H106" s="75"/>
      <c r="I106" s="76"/>
    </row>
    <row r="107" spans="2:9" ht="14.1" customHeight="1" x14ac:dyDescent="0.2">
      <c r="B107" s="102" t="s">
        <v>2</v>
      </c>
      <c r="C107" s="35" t="s">
        <v>37</v>
      </c>
      <c r="D107" s="14">
        <v>0.95</v>
      </c>
      <c r="E107" s="14">
        <v>0.95</v>
      </c>
      <c r="F107" s="14">
        <v>0.85</v>
      </c>
      <c r="G107" s="105">
        <v>0.85</v>
      </c>
      <c r="H107" s="106">
        <v>0.8</v>
      </c>
      <c r="I107" s="107">
        <v>0.8</v>
      </c>
    </row>
    <row r="108" spans="2:9" ht="14.1" customHeight="1" x14ac:dyDescent="0.2">
      <c r="B108" s="28" t="s">
        <v>15</v>
      </c>
      <c r="C108" s="29" t="s">
        <v>16</v>
      </c>
      <c r="D108" s="11">
        <v>120</v>
      </c>
      <c r="E108" s="11">
        <v>120</v>
      </c>
      <c r="F108" s="11">
        <v>120</v>
      </c>
      <c r="G108" s="77">
        <v>120</v>
      </c>
      <c r="H108" s="11">
        <v>120</v>
      </c>
      <c r="I108" s="29">
        <v>120</v>
      </c>
    </row>
    <row r="109" spans="2:9" ht="14.1" customHeight="1" x14ac:dyDescent="0.2">
      <c r="B109" s="28" t="s">
        <v>17</v>
      </c>
      <c r="C109" s="29" t="s">
        <v>18</v>
      </c>
      <c r="D109" s="12">
        <f>11500/D107</f>
        <v>12105.263157894737</v>
      </c>
      <c r="E109" s="12">
        <f>11500/E107</f>
        <v>12105.263157894737</v>
      </c>
      <c r="F109" s="12">
        <f>11500/F107</f>
        <v>13529.411764705883</v>
      </c>
      <c r="G109" s="78">
        <f>14500/G107</f>
        <v>17058.823529411766</v>
      </c>
      <c r="H109" s="12">
        <f>14500/H107</f>
        <v>18125</v>
      </c>
      <c r="I109" s="30">
        <f t="shared" ref="I109" si="14">14500/I107</f>
        <v>18125</v>
      </c>
    </row>
    <row r="110" spans="2:9" ht="14.1" customHeight="1" x14ac:dyDescent="0.2">
      <c r="B110" s="28" t="s">
        <v>19</v>
      </c>
      <c r="C110" s="29" t="s">
        <v>20</v>
      </c>
      <c r="D110" s="11" t="s">
        <v>21</v>
      </c>
      <c r="E110" s="11" t="s">
        <v>21</v>
      </c>
      <c r="F110" s="11" t="s">
        <v>21</v>
      </c>
      <c r="G110" s="77" t="s">
        <v>21</v>
      </c>
      <c r="H110" s="12"/>
      <c r="I110" s="30">
        <v>1800</v>
      </c>
    </row>
    <row r="111" spans="2:9" ht="14.1" customHeight="1" x14ac:dyDescent="0.2">
      <c r="B111" s="28" t="s">
        <v>22</v>
      </c>
      <c r="C111" s="29"/>
      <c r="D111" s="11"/>
      <c r="E111" s="11"/>
      <c r="F111" s="11"/>
      <c r="G111" s="77"/>
      <c r="H111" s="11"/>
      <c r="I111" s="29"/>
    </row>
    <row r="112" spans="2:9" ht="14.1" customHeight="1" x14ac:dyDescent="0.2">
      <c r="B112" s="28" t="s">
        <v>23</v>
      </c>
      <c r="C112" s="29" t="s">
        <v>18</v>
      </c>
      <c r="D112" s="12">
        <f>D109</f>
        <v>12105.263157894737</v>
      </c>
      <c r="E112" s="12">
        <f>E109*0.8</f>
        <v>9684.21052631579</v>
      </c>
      <c r="F112" s="12">
        <f>F109/2.5</f>
        <v>5411.7647058823532</v>
      </c>
      <c r="G112" s="77" t="s">
        <v>21</v>
      </c>
      <c r="H112" s="11" t="s">
        <v>21</v>
      </c>
      <c r="I112" s="29" t="s">
        <v>21</v>
      </c>
    </row>
    <row r="113" spans="2:13" ht="14.1" customHeight="1" x14ac:dyDescent="0.2">
      <c r="B113" s="28" t="s">
        <v>24</v>
      </c>
      <c r="C113" s="29" t="s">
        <v>18</v>
      </c>
      <c r="D113" s="11">
        <v>0</v>
      </c>
      <c r="E113" s="11">
        <v>0</v>
      </c>
      <c r="F113" s="11">
        <v>500</v>
      </c>
      <c r="G113" s="77">
        <v>500</v>
      </c>
      <c r="H113" s="11">
        <v>500</v>
      </c>
      <c r="I113" s="29">
        <v>500</v>
      </c>
    </row>
    <row r="114" spans="2:13" ht="14.1" customHeight="1" x14ac:dyDescent="0.2">
      <c r="B114" s="28" t="s">
        <v>25</v>
      </c>
      <c r="C114" s="29" t="s">
        <v>18</v>
      </c>
      <c r="D114" s="12">
        <v>5000</v>
      </c>
      <c r="E114" s="12">
        <v>5000</v>
      </c>
      <c r="F114" s="12">
        <v>5000</v>
      </c>
      <c r="G114" s="96">
        <v>5000</v>
      </c>
      <c r="H114" s="97">
        <v>5000</v>
      </c>
      <c r="I114" s="98">
        <v>5000</v>
      </c>
    </row>
    <row r="115" spans="2:13" ht="14.1" customHeight="1" x14ac:dyDescent="0.2">
      <c r="B115" s="103" t="s">
        <v>26</v>
      </c>
      <c r="C115" s="104" t="s">
        <v>18</v>
      </c>
      <c r="D115" s="100">
        <f t="shared" ref="D115:I115" si="15">SUM(D112:D114)</f>
        <v>17105.263157894737</v>
      </c>
      <c r="E115" s="100">
        <f t="shared" si="15"/>
        <v>14684.21052631579</v>
      </c>
      <c r="F115" s="100">
        <f t="shared" si="15"/>
        <v>10911.764705882353</v>
      </c>
      <c r="G115" s="78">
        <f t="shared" si="15"/>
        <v>5500</v>
      </c>
      <c r="H115" s="12">
        <f t="shared" si="15"/>
        <v>5500</v>
      </c>
      <c r="I115" s="30">
        <f t="shared" si="15"/>
        <v>5500</v>
      </c>
    </row>
    <row r="116" spans="2:13" ht="14.1" customHeight="1" x14ac:dyDescent="0.2">
      <c r="B116" s="28" t="s">
        <v>27</v>
      </c>
      <c r="C116" s="11"/>
      <c r="D116" s="77"/>
      <c r="E116" s="11"/>
      <c r="F116" s="11"/>
      <c r="G116" s="109"/>
      <c r="H116" s="26"/>
      <c r="I116" s="35"/>
    </row>
    <row r="117" spans="2:13" ht="14.1" customHeight="1" x14ac:dyDescent="0.2">
      <c r="B117" s="28" t="s">
        <v>70</v>
      </c>
      <c r="C117" s="11" t="s">
        <v>28</v>
      </c>
      <c r="D117" s="78">
        <v>1000</v>
      </c>
      <c r="E117" s="12">
        <v>1000</v>
      </c>
      <c r="F117" s="12">
        <v>4000</v>
      </c>
      <c r="G117" s="78">
        <v>4000</v>
      </c>
      <c r="H117" s="12">
        <v>9000</v>
      </c>
      <c r="I117" s="30">
        <v>6000</v>
      </c>
    </row>
    <row r="118" spans="2:13" ht="14.1" customHeight="1" x14ac:dyDescent="0.2">
      <c r="B118" s="28" t="s">
        <v>47</v>
      </c>
      <c r="C118" s="11" t="s">
        <v>28</v>
      </c>
      <c r="D118" s="78">
        <v>1000</v>
      </c>
      <c r="E118" s="12">
        <v>1000</v>
      </c>
      <c r="F118" s="12">
        <v>1000</v>
      </c>
      <c r="G118" s="78">
        <v>2000</v>
      </c>
      <c r="H118" s="12">
        <v>5000</v>
      </c>
      <c r="I118" s="30">
        <v>3000</v>
      </c>
    </row>
    <row r="119" spans="2:13" ht="14.1" customHeight="1" x14ac:dyDescent="0.2">
      <c r="B119" s="28" t="s">
        <v>80</v>
      </c>
      <c r="C119" s="11" t="s">
        <v>28</v>
      </c>
      <c r="D119" s="78"/>
      <c r="E119" s="12">
        <v>2000</v>
      </c>
      <c r="F119" s="12">
        <v>7000</v>
      </c>
      <c r="G119" s="78"/>
      <c r="H119" s="12"/>
      <c r="I119" s="30"/>
    </row>
    <row r="120" spans="2:13" ht="14.1" customHeight="1" x14ac:dyDescent="0.2">
      <c r="B120" s="28" t="s">
        <v>69</v>
      </c>
      <c r="C120" s="11" t="s">
        <v>28</v>
      </c>
      <c r="D120" s="77"/>
      <c r="E120" s="11"/>
      <c r="F120" s="12">
        <v>7000</v>
      </c>
      <c r="G120" s="77"/>
      <c r="H120" s="11"/>
      <c r="I120" s="29"/>
      <c r="M120" s="44"/>
    </row>
    <row r="121" spans="2:13" ht="14.1" customHeight="1" x14ac:dyDescent="0.2">
      <c r="B121" s="28" t="s">
        <v>49</v>
      </c>
      <c r="C121" s="11" t="s">
        <v>28</v>
      </c>
      <c r="D121" s="77" t="s">
        <v>21</v>
      </c>
      <c r="E121" s="11" t="s">
        <v>21</v>
      </c>
      <c r="F121" s="12" t="s">
        <v>21</v>
      </c>
      <c r="G121" s="77" t="s">
        <v>21</v>
      </c>
      <c r="H121" s="12">
        <v>2000</v>
      </c>
      <c r="I121" s="30">
        <v>2000</v>
      </c>
    </row>
    <row r="122" spans="2:13" ht="14.1" customHeight="1" x14ac:dyDescent="0.2">
      <c r="B122" s="28" t="s">
        <v>29</v>
      </c>
      <c r="C122" s="11" t="s">
        <v>28</v>
      </c>
      <c r="D122" s="78">
        <v>3000</v>
      </c>
      <c r="E122" s="12">
        <v>3000</v>
      </c>
      <c r="F122" s="12">
        <v>4000</v>
      </c>
      <c r="G122" s="78">
        <v>4000</v>
      </c>
      <c r="H122" s="12">
        <v>4000</v>
      </c>
      <c r="I122" s="30">
        <v>4000</v>
      </c>
    </row>
    <row r="123" spans="2:13" ht="14.1" customHeight="1" x14ac:dyDescent="0.2">
      <c r="B123" s="28" t="s">
        <v>30</v>
      </c>
      <c r="C123" s="11" t="s">
        <v>28</v>
      </c>
      <c r="D123" s="78">
        <v>1500</v>
      </c>
      <c r="E123" s="12">
        <v>1500</v>
      </c>
      <c r="F123" s="12">
        <v>1500</v>
      </c>
      <c r="G123" s="78">
        <v>3000</v>
      </c>
      <c r="H123" s="12">
        <v>1500</v>
      </c>
      <c r="I123" s="30">
        <v>1500</v>
      </c>
    </row>
    <row r="124" spans="2:13" ht="14.1" customHeight="1" x14ac:dyDescent="0.2">
      <c r="B124" s="28" t="s">
        <v>31</v>
      </c>
      <c r="C124" s="11" t="s">
        <v>28</v>
      </c>
      <c r="D124" s="77">
        <v>500</v>
      </c>
      <c r="E124" s="11">
        <v>500</v>
      </c>
      <c r="F124" s="12">
        <v>2000</v>
      </c>
      <c r="G124" s="78">
        <v>1000</v>
      </c>
      <c r="H124" s="12">
        <v>1500</v>
      </c>
      <c r="I124" s="30">
        <v>1500</v>
      </c>
    </row>
    <row r="125" spans="2:13" ht="14.1" customHeight="1" x14ac:dyDescent="0.2">
      <c r="B125" s="28" t="s">
        <v>26</v>
      </c>
      <c r="C125" s="11" t="s">
        <v>28</v>
      </c>
      <c r="D125" s="99">
        <f t="shared" ref="D125:I125" si="16">SUM(D117:D124)</f>
        <v>7000</v>
      </c>
      <c r="E125" s="100">
        <f t="shared" si="16"/>
        <v>9000</v>
      </c>
      <c r="F125" s="100">
        <f t="shared" si="16"/>
        <v>26500</v>
      </c>
      <c r="G125" s="99">
        <f t="shared" si="16"/>
        <v>14000</v>
      </c>
      <c r="H125" s="100">
        <f t="shared" si="16"/>
        <v>23000</v>
      </c>
      <c r="I125" s="101">
        <f t="shared" si="16"/>
        <v>18000</v>
      </c>
    </row>
    <row r="126" spans="2:13" ht="14.1" customHeight="1" x14ac:dyDescent="0.2">
      <c r="B126" s="113" t="s">
        <v>46</v>
      </c>
      <c r="C126" s="35"/>
      <c r="D126" s="11"/>
      <c r="E126" s="11"/>
      <c r="F126" s="11"/>
      <c r="G126" s="77"/>
      <c r="H126" s="11"/>
      <c r="I126" s="29"/>
    </row>
    <row r="127" spans="2:13" ht="14.1" customHeight="1" x14ac:dyDescent="0.2">
      <c r="B127" s="28" t="s">
        <v>34</v>
      </c>
      <c r="C127" s="29" t="s">
        <v>35</v>
      </c>
      <c r="D127" s="11">
        <v>30</v>
      </c>
      <c r="E127" s="11">
        <v>30</v>
      </c>
      <c r="F127" s="11">
        <v>30</v>
      </c>
      <c r="G127" s="77">
        <v>30</v>
      </c>
      <c r="H127" s="11">
        <v>30</v>
      </c>
      <c r="I127" s="29">
        <v>30</v>
      </c>
    </row>
    <row r="128" spans="2:13" ht="14.1" customHeight="1" x14ac:dyDescent="0.2">
      <c r="B128" s="28" t="s">
        <v>36</v>
      </c>
      <c r="C128" s="29" t="s">
        <v>37</v>
      </c>
      <c r="D128" s="14">
        <v>0.05</v>
      </c>
      <c r="E128" s="14">
        <v>0.05</v>
      </c>
      <c r="F128" s="14">
        <v>0.05</v>
      </c>
      <c r="G128" s="79">
        <v>0.05</v>
      </c>
      <c r="H128" s="14">
        <v>0.05</v>
      </c>
      <c r="I128" s="31">
        <v>0.05</v>
      </c>
    </row>
    <row r="129" spans="2:9" ht="14.1" customHeight="1" x14ac:dyDescent="0.2">
      <c r="B129" s="28" t="s">
        <v>38</v>
      </c>
      <c r="C129" s="29" t="s">
        <v>37</v>
      </c>
      <c r="D129" s="15">
        <f t="shared" ref="D129:I129" si="17">-PMT(D128,D127,100)</f>
        <v>6.5051435080276576</v>
      </c>
      <c r="E129" s="15">
        <f t="shared" si="17"/>
        <v>6.5051435080276576</v>
      </c>
      <c r="F129" s="15">
        <f t="shared" si="17"/>
        <v>6.5051435080276576</v>
      </c>
      <c r="G129" s="80">
        <f t="shared" si="17"/>
        <v>6.5051435080276576</v>
      </c>
      <c r="H129" s="15">
        <f t="shared" si="17"/>
        <v>6.5051435080276576</v>
      </c>
      <c r="I129" s="32">
        <f t="shared" si="17"/>
        <v>6.5051435080276576</v>
      </c>
    </row>
    <row r="130" spans="2:9" ht="14.1" customHeight="1" x14ac:dyDescent="0.2">
      <c r="B130" s="103" t="s">
        <v>0</v>
      </c>
      <c r="C130" s="104" t="s">
        <v>28</v>
      </c>
      <c r="D130" s="111">
        <f t="shared" ref="D130:I130" si="18">D129*D125/100</f>
        <v>455.36004556193603</v>
      </c>
      <c r="E130" s="111">
        <f t="shared" si="18"/>
        <v>585.46291572248924</v>
      </c>
      <c r="F130" s="111">
        <f t="shared" si="18"/>
        <v>1723.8630296273293</v>
      </c>
      <c r="G130" s="110">
        <f t="shared" si="18"/>
        <v>910.72009112387207</v>
      </c>
      <c r="H130" s="111">
        <f t="shared" si="18"/>
        <v>1496.1830068463614</v>
      </c>
      <c r="I130" s="112">
        <f t="shared" si="18"/>
        <v>1170.9258314449785</v>
      </c>
    </row>
    <row r="131" spans="2:9" ht="14.1" customHeight="1" x14ac:dyDescent="0.2">
      <c r="B131" s="28" t="s">
        <v>59</v>
      </c>
      <c r="C131" s="29"/>
      <c r="D131" s="11"/>
      <c r="E131" s="11"/>
      <c r="F131" s="11"/>
      <c r="G131" s="77"/>
      <c r="H131" s="11"/>
      <c r="I131" s="29"/>
    </row>
    <row r="132" spans="2:9" ht="14.1" customHeight="1" x14ac:dyDescent="0.2">
      <c r="B132" s="28" t="s">
        <v>61</v>
      </c>
      <c r="C132" s="29" t="s">
        <v>3</v>
      </c>
      <c r="D132" s="11" t="s">
        <v>21</v>
      </c>
      <c r="E132" s="11" t="s">
        <v>21</v>
      </c>
      <c r="F132" s="11" t="s">
        <v>21</v>
      </c>
      <c r="G132" s="81">
        <f>E23</f>
        <v>98.604886210360021</v>
      </c>
      <c r="H132" s="33" t="s">
        <v>21</v>
      </c>
      <c r="I132" s="34" t="s">
        <v>21</v>
      </c>
    </row>
    <row r="133" spans="2:9" ht="14.1" customHeight="1" x14ac:dyDescent="0.2">
      <c r="B133" s="28" t="s">
        <v>62</v>
      </c>
      <c r="C133" s="29" t="s">
        <v>32</v>
      </c>
      <c r="D133" s="11" t="s">
        <v>21</v>
      </c>
      <c r="E133" s="11" t="s">
        <v>21</v>
      </c>
      <c r="F133" s="11" t="s">
        <v>21</v>
      </c>
      <c r="G133" s="81" t="s">
        <v>21</v>
      </c>
      <c r="H133" s="33"/>
      <c r="I133" s="34">
        <f>F23/100</f>
        <v>2.026693062559707</v>
      </c>
    </row>
    <row r="134" spans="2:9" ht="14.1" customHeight="1" x14ac:dyDescent="0.2">
      <c r="B134" s="28" t="s">
        <v>63</v>
      </c>
      <c r="C134" s="29" t="s">
        <v>33</v>
      </c>
      <c r="D134" s="11"/>
      <c r="E134" s="11"/>
      <c r="F134" s="11"/>
      <c r="G134" s="81"/>
      <c r="H134" s="33">
        <f>G23/10</f>
        <v>9.5188515778985394</v>
      </c>
      <c r="I134" s="34"/>
    </row>
    <row r="135" spans="2:9" ht="14.1" customHeight="1" x14ac:dyDescent="0.2">
      <c r="B135" s="28" t="s">
        <v>60</v>
      </c>
      <c r="C135" s="29" t="s">
        <v>33</v>
      </c>
      <c r="D135" s="33">
        <f>D23/10</f>
        <v>16.989836145425059</v>
      </c>
      <c r="E135" s="33">
        <f>D135</f>
        <v>16.989836145425059</v>
      </c>
      <c r="F135" s="33">
        <f>E135</f>
        <v>16.989836145425059</v>
      </c>
      <c r="G135" s="108">
        <f>F135</f>
        <v>16.989836145425059</v>
      </c>
      <c r="H135" s="93">
        <f>I135</f>
        <v>16.989836145425059</v>
      </c>
      <c r="I135" s="94">
        <f>G135</f>
        <v>16.989836145425059</v>
      </c>
    </row>
    <row r="136" spans="2:9" ht="14.1" customHeight="1" x14ac:dyDescent="0.2">
      <c r="B136" s="43" t="s">
        <v>82</v>
      </c>
      <c r="C136" s="26"/>
      <c r="D136" s="82"/>
      <c r="E136" s="27"/>
      <c r="F136" s="83"/>
      <c r="G136" s="26"/>
      <c r="H136" s="26"/>
      <c r="I136" s="35"/>
    </row>
    <row r="137" spans="2:9" ht="14.1" customHeight="1" x14ac:dyDescent="0.2">
      <c r="B137" s="28" t="s">
        <v>64</v>
      </c>
      <c r="C137" s="11" t="s">
        <v>28</v>
      </c>
      <c r="D137" s="77">
        <v>0</v>
      </c>
      <c r="E137" s="11">
        <v>0</v>
      </c>
      <c r="F137" s="29">
        <v>0</v>
      </c>
      <c r="G137" s="12">
        <f>G109*G132/1000</f>
        <v>1682.0833530002592</v>
      </c>
      <c r="H137" s="12">
        <f>H109*H134/100</f>
        <v>1725.2918484941101</v>
      </c>
      <c r="I137" s="30">
        <f>I110*I133</f>
        <v>3648.0475126074725</v>
      </c>
    </row>
    <row r="138" spans="2:9" ht="14.1" customHeight="1" x14ac:dyDescent="0.2">
      <c r="B138" s="28" t="s">
        <v>67</v>
      </c>
      <c r="C138" s="11" t="s">
        <v>28</v>
      </c>
      <c r="D138" s="78">
        <f t="shared" ref="D138:I138" si="19">D115*D135/100</f>
        <v>2906.1561827700762</v>
      </c>
      <c r="E138" s="12">
        <f t="shared" si="19"/>
        <v>2494.8233076703114</v>
      </c>
      <c r="F138" s="30">
        <f t="shared" si="19"/>
        <v>1853.8909441037345</v>
      </c>
      <c r="G138" s="12">
        <f t="shared" si="19"/>
        <v>934.4409879983782</v>
      </c>
      <c r="H138" s="12">
        <f t="shared" si="19"/>
        <v>934.4409879983782</v>
      </c>
      <c r="I138" s="30">
        <f t="shared" si="19"/>
        <v>934.4409879983782</v>
      </c>
    </row>
    <row r="139" spans="2:9" ht="14.1" customHeight="1" x14ac:dyDescent="0.2">
      <c r="B139" s="28" t="s">
        <v>65</v>
      </c>
      <c r="C139" s="11" t="s">
        <v>28</v>
      </c>
      <c r="D139" s="77">
        <v>70</v>
      </c>
      <c r="E139" s="11">
        <v>120</v>
      </c>
      <c r="F139" s="29">
        <v>195</v>
      </c>
      <c r="G139" s="11">
        <v>125</v>
      </c>
      <c r="H139" s="11">
        <v>200</v>
      </c>
      <c r="I139" s="29">
        <v>180</v>
      </c>
    </row>
    <row r="140" spans="2:9" ht="14.1" customHeight="1" x14ac:dyDescent="0.2">
      <c r="B140" s="28" t="s">
        <v>81</v>
      </c>
      <c r="C140" s="11" t="s">
        <v>28</v>
      </c>
      <c r="D140" s="84">
        <f>SUM(D137:D139)</f>
        <v>2976.1561827700762</v>
      </c>
      <c r="E140" s="36">
        <f t="shared" ref="E140:I140" si="20">SUM(E137:E139)</f>
        <v>2614.8233076703114</v>
      </c>
      <c r="F140" s="37">
        <f t="shared" si="20"/>
        <v>2048.8909441037345</v>
      </c>
      <c r="G140" s="36">
        <f t="shared" si="20"/>
        <v>2741.5243409986374</v>
      </c>
      <c r="H140" s="36">
        <f t="shared" si="20"/>
        <v>2859.7328364924883</v>
      </c>
      <c r="I140" s="37">
        <f t="shared" si="20"/>
        <v>4762.4885006058503</v>
      </c>
    </row>
    <row r="141" spans="2:9" ht="14.1" customHeight="1" x14ac:dyDescent="0.2">
      <c r="B141" s="88" t="s">
        <v>48</v>
      </c>
      <c r="C141" s="89" t="s">
        <v>28</v>
      </c>
      <c r="D141" s="92">
        <f>D140+D130</f>
        <v>3431.5162283320124</v>
      </c>
      <c r="E141" s="90">
        <f t="shared" ref="E141:I141" si="21">E140+E130</f>
        <v>3200.2862233928008</v>
      </c>
      <c r="F141" s="91">
        <f t="shared" si="21"/>
        <v>3772.7539737310635</v>
      </c>
      <c r="G141" s="90">
        <f t="shared" si="21"/>
        <v>3652.2444321225094</v>
      </c>
      <c r="H141" s="90">
        <f t="shared" si="21"/>
        <v>4355.9158433388493</v>
      </c>
      <c r="I141" s="91">
        <f t="shared" si="21"/>
        <v>5933.4143320508283</v>
      </c>
    </row>
    <row r="142" spans="2:9" ht="14.1" customHeight="1" x14ac:dyDescent="0.2">
      <c r="B142" s="41" t="s">
        <v>66</v>
      </c>
      <c r="D142" s="2">
        <f t="shared" ref="D142:I142" si="22">D141/$D141</f>
        <v>1</v>
      </c>
      <c r="E142" s="2">
        <f t="shared" si="22"/>
        <v>0.9326157915180231</v>
      </c>
      <c r="F142" s="2">
        <f t="shared" si="22"/>
        <v>1.0994422647871083</v>
      </c>
      <c r="G142" s="2">
        <f t="shared" si="22"/>
        <v>1.064323811721499</v>
      </c>
      <c r="H142" s="2">
        <f t="shared" si="22"/>
        <v>1.2693851794651625</v>
      </c>
      <c r="I142" s="2">
        <f t="shared" si="22"/>
        <v>1.7290940614128862</v>
      </c>
    </row>
    <row r="147" spans="2:9" ht="14.1" customHeight="1" x14ac:dyDescent="0.2">
      <c r="B147" s="38" t="s">
        <v>43</v>
      </c>
      <c r="C147" s="20"/>
      <c r="D147" s="19" t="s">
        <v>39</v>
      </c>
      <c r="E147" s="20" t="s">
        <v>83</v>
      </c>
      <c r="F147" s="39" t="s">
        <v>84</v>
      </c>
      <c r="G147" s="20" t="s">
        <v>41</v>
      </c>
      <c r="H147" s="20" t="s">
        <v>50</v>
      </c>
      <c r="I147" s="39" t="s">
        <v>42</v>
      </c>
    </row>
    <row r="148" spans="2:9" ht="14.1" customHeight="1" x14ac:dyDescent="0.2">
      <c r="B148" s="85"/>
      <c r="C148" s="86"/>
      <c r="D148" s="85" t="s">
        <v>10</v>
      </c>
      <c r="E148" s="47" t="s">
        <v>40</v>
      </c>
      <c r="F148" s="87" t="s">
        <v>40</v>
      </c>
      <c r="G148" s="86" t="s">
        <v>6</v>
      </c>
      <c r="H148" s="47" t="s">
        <v>68</v>
      </c>
      <c r="I148" s="87" t="s">
        <v>68</v>
      </c>
    </row>
    <row r="149" spans="2:9" ht="14.1" customHeight="1" x14ac:dyDescent="0.2">
      <c r="B149" s="102" t="s">
        <v>51</v>
      </c>
      <c r="C149" s="115"/>
      <c r="D149" s="109"/>
      <c r="E149" s="116"/>
      <c r="F149" s="35"/>
      <c r="G149" s="26"/>
      <c r="H149" s="116"/>
      <c r="I149" s="35"/>
    </row>
    <row r="150" spans="2:9" ht="14.1" customHeight="1" x14ac:dyDescent="0.2">
      <c r="B150" s="95" t="s">
        <v>86</v>
      </c>
      <c r="C150" s="40" t="s">
        <v>18</v>
      </c>
      <c r="D150" s="78"/>
      <c r="E150" s="63"/>
      <c r="F150" s="30"/>
      <c r="G150" s="12">
        <f>G109</f>
        <v>17058.823529411766</v>
      </c>
      <c r="H150" s="12">
        <f>H109</f>
        <v>18125</v>
      </c>
      <c r="I150" s="30">
        <f>vertailu!I109</f>
        <v>18125</v>
      </c>
    </row>
    <row r="151" spans="2:9" ht="14.1" customHeight="1" x14ac:dyDescent="0.2">
      <c r="B151" s="95" t="s">
        <v>87</v>
      </c>
      <c r="C151" s="40" t="s">
        <v>53</v>
      </c>
      <c r="D151" s="77"/>
      <c r="E151" s="63"/>
      <c r="F151" s="29"/>
      <c r="G151" s="11">
        <v>280</v>
      </c>
      <c r="H151" s="11">
        <v>21</v>
      </c>
      <c r="I151" s="37">
        <f>267/0.9</f>
        <v>296.66666666666669</v>
      </c>
    </row>
    <row r="152" spans="2:9" ht="14.1" customHeight="1" x14ac:dyDescent="0.2">
      <c r="B152" s="117" t="s">
        <v>85</v>
      </c>
      <c r="C152" s="118" t="s">
        <v>55</v>
      </c>
      <c r="D152" s="96"/>
      <c r="E152" s="119"/>
      <c r="F152" s="98"/>
      <c r="G152" s="97">
        <f>G150*G151/1000</f>
        <v>4776.4705882352946</v>
      </c>
      <c r="H152" s="97">
        <f>H150*H151/1000</f>
        <v>380.625</v>
      </c>
      <c r="I152" s="98">
        <f>I150*I151/1000</f>
        <v>5377.0833333333339</v>
      </c>
    </row>
    <row r="153" spans="2:9" ht="14.1" customHeight="1" x14ac:dyDescent="0.2">
      <c r="B153" s="102" t="s">
        <v>56</v>
      </c>
      <c r="C153" s="115"/>
      <c r="D153" s="109"/>
      <c r="E153" s="116"/>
      <c r="F153" s="35"/>
      <c r="G153" s="26"/>
      <c r="H153" s="116"/>
      <c r="I153" s="35"/>
    </row>
    <row r="154" spans="2:9" ht="14.1" customHeight="1" x14ac:dyDescent="0.2">
      <c r="B154" s="95" t="s">
        <v>58</v>
      </c>
      <c r="C154" s="40" t="s">
        <v>18</v>
      </c>
      <c r="D154" s="78">
        <f>D115</f>
        <v>17105.263157894737</v>
      </c>
      <c r="E154" s="12">
        <f t="shared" ref="E154:F154" si="23">E115</f>
        <v>14684.21052631579</v>
      </c>
      <c r="F154" s="30">
        <f t="shared" si="23"/>
        <v>10911.764705882353</v>
      </c>
      <c r="G154" s="12">
        <f>G113+G114</f>
        <v>5500</v>
      </c>
      <c r="H154" s="12">
        <f>H113+H114</f>
        <v>5500</v>
      </c>
      <c r="I154" s="30">
        <f>I113+I114</f>
        <v>5500</v>
      </c>
    </row>
    <row r="155" spans="2:9" ht="14.1" customHeight="1" x14ac:dyDescent="0.2">
      <c r="B155" s="95" t="s">
        <v>52</v>
      </c>
      <c r="C155" s="40" t="s">
        <v>53</v>
      </c>
      <c r="D155" s="77">
        <v>150</v>
      </c>
      <c r="E155" s="11">
        <v>150</v>
      </c>
      <c r="F155" s="29">
        <v>150</v>
      </c>
      <c r="G155" s="11">
        <v>150</v>
      </c>
      <c r="H155" s="11">
        <v>150</v>
      </c>
      <c r="I155" s="29">
        <v>150</v>
      </c>
    </row>
    <row r="156" spans="2:9" ht="14.1" customHeight="1" x14ac:dyDescent="0.2">
      <c r="B156" s="117" t="s">
        <v>54</v>
      </c>
      <c r="C156" s="118" t="s">
        <v>55</v>
      </c>
      <c r="D156" s="96">
        <f t="shared" ref="D156:I156" si="24">D154*D155/1000</f>
        <v>2565.7894736842104</v>
      </c>
      <c r="E156" s="97">
        <f t="shared" si="24"/>
        <v>2202.6315789473683</v>
      </c>
      <c r="F156" s="98">
        <f t="shared" si="24"/>
        <v>1636.7647058823529</v>
      </c>
      <c r="G156" s="97">
        <f t="shared" si="24"/>
        <v>825</v>
      </c>
      <c r="H156" s="97">
        <f t="shared" si="24"/>
        <v>825</v>
      </c>
      <c r="I156" s="98">
        <f t="shared" si="24"/>
        <v>825</v>
      </c>
    </row>
    <row r="157" spans="2:9" ht="14.1" customHeight="1" x14ac:dyDescent="0.2">
      <c r="B157" s="120" t="s">
        <v>57</v>
      </c>
      <c r="C157" s="121" t="s">
        <v>55</v>
      </c>
      <c r="D157" s="92">
        <f t="shared" ref="D157:I157" si="25">D152+D156</f>
        <v>2565.7894736842104</v>
      </c>
      <c r="E157" s="90">
        <f t="shared" si="25"/>
        <v>2202.6315789473683</v>
      </c>
      <c r="F157" s="91">
        <f t="shared" si="25"/>
        <v>1636.7647058823529</v>
      </c>
      <c r="G157" s="90">
        <f t="shared" si="25"/>
        <v>5601.4705882352946</v>
      </c>
      <c r="H157" s="90">
        <f t="shared" si="25"/>
        <v>1205.625</v>
      </c>
      <c r="I157" s="91">
        <f t="shared" si="25"/>
        <v>6202.0833333333339</v>
      </c>
    </row>
    <row r="158" spans="2:9" x14ac:dyDescent="0.2">
      <c r="B158" s="114" t="s">
        <v>66</v>
      </c>
      <c r="C158" s="114" t="s">
        <v>37</v>
      </c>
      <c r="D158" s="42">
        <f t="shared" ref="D158:I158" si="26">D157/$D157</f>
        <v>1</v>
      </c>
      <c r="E158" s="42">
        <f t="shared" si="26"/>
        <v>0.8584615384615385</v>
      </c>
      <c r="F158" s="42">
        <f t="shared" si="26"/>
        <v>0.63791855203619907</v>
      </c>
      <c r="G158" s="42">
        <f t="shared" si="26"/>
        <v>2.1831372549019612</v>
      </c>
      <c r="H158" s="42">
        <f t="shared" si="26"/>
        <v>0.4698846153846154</v>
      </c>
      <c r="I158" s="42">
        <f t="shared" si="26"/>
        <v>2.4172222222222226</v>
      </c>
    </row>
  </sheetData>
  <phoneticPr fontId="4" type="noConversion"/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vertailu</vt:lpstr>
    </vt:vector>
  </TitlesOfParts>
  <Company>Wärtsilä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avu002</dc:creator>
  <cp:lastModifiedBy>Asko</cp:lastModifiedBy>
  <cp:lastPrinted>2008-01-24T12:59:23Z</cp:lastPrinted>
  <dcterms:created xsi:type="dcterms:W3CDTF">2007-12-28T13:19:23Z</dcterms:created>
  <dcterms:modified xsi:type="dcterms:W3CDTF">2013-03-03T13:51:34Z</dcterms:modified>
</cp:coreProperties>
</file>